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ohd.alfarsi\Desktop\Systems Documents\opendata\"/>
    </mc:Choice>
  </mc:AlternateContent>
  <bookViews>
    <workbookView xWindow="0" yWindow="0" windowWidth="19200" windowHeight="6950"/>
  </bookViews>
  <sheets>
    <sheet name="البيانات الوصفية " sheetId="3" r:id="rId1"/>
    <sheet name="المتغيرات" sheetId="4" r:id="rId2"/>
    <sheet name="Insurance Financials Search Rep" sheetId="2" r:id="rId3"/>
  </sheets>
  <calcPr calcId="162913"/>
</workbook>
</file>

<file path=xl/calcChain.xml><?xml version="1.0" encoding="utf-8"?>
<calcChain xmlns="http://schemas.openxmlformats.org/spreadsheetml/2006/main">
  <c r="I260" i="2" l="1"/>
  <c r="H260" i="2"/>
  <c r="G260" i="2"/>
  <c r="F260" i="2"/>
  <c r="E260" i="2"/>
  <c r="D260" i="2"/>
  <c r="C260" i="2"/>
  <c r="B260" i="2"/>
  <c r="I259" i="2"/>
  <c r="H259" i="2"/>
  <c r="G259" i="2"/>
  <c r="F259" i="2"/>
  <c r="E259" i="2"/>
  <c r="D259" i="2"/>
  <c r="C259" i="2"/>
  <c r="B259" i="2"/>
  <c r="I258" i="2"/>
  <c r="H258" i="2"/>
  <c r="G258" i="2"/>
  <c r="F258" i="2"/>
  <c r="E258" i="2"/>
  <c r="D258" i="2"/>
  <c r="C258" i="2"/>
  <c r="B258" i="2"/>
  <c r="I257" i="2"/>
  <c r="H257" i="2"/>
  <c r="G257" i="2"/>
  <c r="F257" i="2"/>
  <c r="E257" i="2"/>
  <c r="D257" i="2"/>
  <c r="C257" i="2"/>
  <c r="B257" i="2"/>
  <c r="I256" i="2"/>
  <c r="H256" i="2"/>
  <c r="G256" i="2"/>
  <c r="F256" i="2"/>
  <c r="E256" i="2"/>
  <c r="D256" i="2"/>
  <c r="C256" i="2"/>
  <c r="B256" i="2"/>
  <c r="I255" i="2"/>
  <c r="H255" i="2"/>
  <c r="G255" i="2"/>
  <c r="F255" i="2"/>
  <c r="E255" i="2"/>
  <c r="D255" i="2"/>
  <c r="C255" i="2"/>
  <c r="B255" i="2"/>
  <c r="I254" i="2"/>
  <c r="H254" i="2"/>
  <c r="G254" i="2"/>
  <c r="F254" i="2"/>
  <c r="E254" i="2"/>
  <c r="D254" i="2"/>
  <c r="C254" i="2"/>
  <c r="B254" i="2"/>
  <c r="I253" i="2"/>
  <c r="H253" i="2"/>
  <c r="G253" i="2"/>
  <c r="F253" i="2"/>
  <c r="E253" i="2"/>
  <c r="D253" i="2"/>
  <c r="C253" i="2"/>
  <c r="B253" i="2"/>
  <c r="I252" i="2"/>
  <c r="H252" i="2"/>
  <c r="G252" i="2"/>
  <c r="F252" i="2"/>
  <c r="E252" i="2"/>
  <c r="D252" i="2"/>
  <c r="C252" i="2"/>
  <c r="B252" i="2"/>
  <c r="I251" i="2"/>
  <c r="H251" i="2"/>
  <c r="G251" i="2"/>
  <c r="F251" i="2"/>
  <c r="E251" i="2"/>
  <c r="D251" i="2"/>
  <c r="C251" i="2"/>
  <c r="B251" i="2"/>
  <c r="I250" i="2"/>
  <c r="H250" i="2"/>
  <c r="G250" i="2"/>
  <c r="F250" i="2"/>
  <c r="E250" i="2"/>
  <c r="D250" i="2"/>
  <c r="C250" i="2"/>
  <c r="B250" i="2"/>
  <c r="I249" i="2"/>
  <c r="H249" i="2"/>
  <c r="G249" i="2"/>
  <c r="F249" i="2"/>
  <c r="E249" i="2"/>
  <c r="D249" i="2"/>
  <c r="C249" i="2"/>
  <c r="B249" i="2"/>
  <c r="I248" i="2"/>
  <c r="H248" i="2"/>
  <c r="G248" i="2"/>
  <c r="F248" i="2"/>
  <c r="E248" i="2"/>
  <c r="D248" i="2"/>
  <c r="C248" i="2"/>
  <c r="B248" i="2"/>
  <c r="I247" i="2"/>
  <c r="H247" i="2"/>
  <c r="G247" i="2"/>
  <c r="F247" i="2"/>
  <c r="E247" i="2"/>
  <c r="D247" i="2"/>
  <c r="C247" i="2"/>
  <c r="B247" i="2"/>
  <c r="I246" i="2"/>
  <c r="H246" i="2"/>
  <c r="G246" i="2"/>
  <c r="F246" i="2"/>
  <c r="E246" i="2"/>
  <c r="D246" i="2"/>
  <c r="C246" i="2"/>
  <c r="B246" i="2"/>
  <c r="I245" i="2"/>
  <c r="H245" i="2"/>
  <c r="G245" i="2"/>
  <c r="F245" i="2"/>
  <c r="E245" i="2"/>
  <c r="D245" i="2"/>
  <c r="C245" i="2"/>
  <c r="B245" i="2"/>
  <c r="I244" i="2"/>
  <c r="H244" i="2"/>
  <c r="G244" i="2"/>
  <c r="F244" i="2"/>
  <c r="E244" i="2"/>
  <c r="D244" i="2"/>
  <c r="C244" i="2"/>
  <c r="B244" i="2"/>
  <c r="I240" i="2"/>
  <c r="H240" i="2"/>
  <c r="G240" i="2"/>
  <c r="F240" i="2"/>
  <c r="E240" i="2"/>
  <c r="D240" i="2"/>
  <c r="C240" i="2"/>
  <c r="B240" i="2"/>
  <c r="I239" i="2"/>
  <c r="H239" i="2"/>
  <c r="G239" i="2"/>
  <c r="F239" i="2"/>
  <c r="E239" i="2"/>
  <c r="D239" i="2"/>
  <c r="C239" i="2"/>
  <c r="B239" i="2"/>
  <c r="I238" i="2"/>
  <c r="H238" i="2"/>
  <c r="G238" i="2"/>
  <c r="F238" i="2"/>
  <c r="E238" i="2"/>
  <c r="D238" i="2"/>
  <c r="C238" i="2"/>
  <c r="B238" i="2"/>
  <c r="I237" i="2"/>
  <c r="H237" i="2"/>
  <c r="G237" i="2"/>
  <c r="F237" i="2"/>
  <c r="E237" i="2"/>
  <c r="D237" i="2"/>
  <c r="C237" i="2"/>
  <c r="B237" i="2"/>
  <c r="I236" i="2"/>
  <c r="H236" i="2"/>
  <c r="G236" i="2"/>
  <c r="F236" i="2"/>
  <c r="E236" i="2"/>
  <c r="D236" i="2"/>
  <c r="C236" i="2"/>
  <c r="B236" i="2"/>
  <c r="I235" i="2"/>
  <c r="H235" i="2"/>
  <c r="G235" i="2"/>
  <c r="F235" i="2"/>
  <c r="E235" i="2"/>
  <c r="D235" i="2"/>
  <c r="C235" i="2"/>
  <c r="B235" i="2"/>
  <c r="I234" i="2"/>
  <c r="H234" i="2"/>
  <c r="G234" i="2"/>
  <c r="F234" i="2"/>
  <c r="E234" i="2"/>
  <c r="D234" i="2"/>
  <c r="C234" i="2"/>
  <c r="B234" i="2"/>
  <c r="I233" i="2"/>
  <c r="H233" i="2"/>
  <c r="G233" i="2"/>
  <c r="F233" i="2"/>
  <c r="E233" i="2"/>
  <c r="D233" i="2"/>
  <c r="C233" i="2"/>
  <c r="B233" i="2"/>
  <c r="I232" i="2"/>
  <c r="H232" i="2"/>
  <c r="G232" i="2"/>
  <c r="F232" i="2"/>
  <c r="E232" i="2"/>
  <c r="D232" i="2"/>
  <c r="C232" i="2"/>
  <c r="B232" i="2"/>
  <c r="I231" i="2"/>
  <c r="H231" i="2"/>
  <c r="G231" i="2"/>
  <c r="F231" i="2"/>
  <c r="E231" i="2"/>
  <c r="D231" i="2"/>
  <c r="C231" i="2"/>
  <c r="B231" i="2"/>
  <c r="I230" i="2"/>
  <c r="H230" i="2"/>
  <c r="G230" i="2"/>
  <c r="F230" i="2"/>
  <c r="E230" i="2"/>
  <c r="D230" i="2"/>
  <c r="C230" i="2"/>
  <c r="B230" i="2"/>
  <c r="I229" i="2"/>
  <c r="H229" i="2"/>
  <c r="G229" i="2"/>
  <c r="F229" i="2"/>
  <c r="E229" i="2"/>
  <c r="D229" i="2"/>
  <c r="C229" i="2"/>
  <c r="B229" i="2"/>
  <c r="I228" i="2"/>
  <c r="H228" i="2"/>
  <c r="G228" i="2"/>
  <c r="F228" i="2"/>
  <c r="E228" i="2"/>
  <c r="D228" i="2"/>
  <c r="C228" i="2"/>
  <c r="B228" i="2"/>
  <c r="I227" i="2"/>
  <c r="H227" i="2"/>
  <c r="G227" i="2"/>
  <c r="F227" i="2"/>
  <c r="E227" i="2"/>
  <c r="D227" i="2"/>
  <c r="C227" i="2"/>
  <c r="B227" i="2"/>
  <c r="I226" i="2"/>
  <c r="H226" i="2"/>
  <c r="G226" i="2"/>
  <c r="F226" i="2"/>
  <c r="E226" i="2"/>
  <c r="D226" i="2"/>
  <c r="C226" i="2"/>
  <c r="B226" i="2"/>
  <c r="I225" i="2"/>
  <c r="H225" i="2"/>
  <c r="G225" i="2"/>
  <c r="F225" i="2"/>
  <c r="E225" i="2"/>
  <c r="D225" i="2"/>
  <c r="C225" i="2"/>
  <c r="B225" i="2"/>
  <c r="I224" i="2"/>
  <c r="H224" i="2"/>
  <c r="G224" i="2"/>
  <c r="F224" i="2"/>
  <c r="E224" i="2"/>
  <c r="D224" i="2"/>
  <c r="C224" i="2"/>
  <c r="B224" i="2"/>
  <c r="I220" i="2"/>
  <c r="H220" i="2"/>
  <c r="G220" i="2"/>
  <c r="F220" i="2"/>
  <c r="E220" i="2"/>
  <c r="D220" i="2"/>
  <c r="C220" i="2"/>
  <c r="B220" i="2"/>
  <c r="I219" i="2"/>
  <c r="H219" i="2"/>
  <c r="G219" i="2"/>
  <c r="F219" i="2"/>
  <c r="E219" i="2"/>
  <c r="D219" i="2"/>
  <c r="C219" i="2"/>
  <c r="B219" i="2"/>
  <c r="I218" i="2"/>
  <c r="H218" i="2"/>
  <c r="G218" i="2"/>
  <c r="F218" i="2"/>
  <c r="E218" i="2"/>
  <c r="D218" i="2"/>
  <c r="C218" i="2"/>
  <c r="B218" i="2"/>
  <c r="I217" i="2"/>
  <c r="H217" i="2"/>
  <c r="G217" i="2"/>
  <c r="F217" i="2"/>
  <c r="E217" i="2"/>
  <c r="D217" i="2"/>
  <c r="C217" i="2"/>
  <c r="B217" i="2"/>
  <c r="I216" i="2"/>
  <c r="H216" i="2"/>
  <c r="G216" i="2"/>
  <c r="F216" i="2"/>
  <c r="E216" i="2"/>
  <c r="D216" i="2"/>
  <c r="C216" i="2"/>
  <c r="B216" i="2"/>
  <c r="I215" i="2"/>
  <c r="H215" i="2"/>
  <c r="G215" i="2"/>
  <c r="F215" i="2"/>
  <c r="E215" i="2"/>
  <c r="D215" i="2"/>
  <c r="C215" i="2"/>
  <c r="B215" i="2"/>
  <c r="I214" i="2"/>
  <c r="H214" i="2"/>
  <c r="G214" i="2"/>
  <c r="F214" i="2"/>
  <c r="E214" i="2"/>
  <c r="D214" i="2"/>
  <c r="C214" i="2"/>
  <c r="B214" i="2"/>
  <c r="I213" i="2"/>
  <c r="H213" i="2"/>
  <c r="G213" i="2"/>
  <c r="F213" i="2"/>
  <c r="E213" i="2"/>
  <c r="D213" i="2"/>
  <c r="C213" i="2"/>
  <c r="B213" i="2"/>
  <c r="I212" i="2"/>
  <c r="H212" i="2"/>
  <c r="G212" i="2"/>
  <c r="F212" i="2"/>
  <c r="E212" i="2"/>
  <c r="D212" i="2"/>
  <c r="C212" i="2"/>
  <c r="B212" i="2"/>
  <c r="I211" i="2"/>
  <c r="H211" i="2"/>
  <c r="G211" i="2"/>
  <c r="F211" i="2"/>
  <c r="E211" i="2"/>
  <c r="D211" i="2"/>
  <c r="C211" i="2"/>
  <c r="B211" i="2"/>
  <c r="I210" i="2"/>
  <c r="H210" i="2"/>
  <c r="G210" i="2"/>
  <c r="F210" i="2"/>
  <c r="E210" i="2"/>
  <c r="D210" i="2"/>
  <c r="C210" i="2"/>
  <c r="B210" i="2"/>
  <c r="I209" i="2"/>
  <c r="H209" i="2"/>
  <c r="G209" i="2"/>
  <c r="F209" i="2"/>
  <c r="E209" i="2"/>
  <c r="D209" i="2"/>
  <c r="C209" i="2"/>
  <c r="B209" i="2"/>
  <c r="I208" i="2"/>
  <c r="H208" i="2"/>
  <c r="G208" i="2"/>
  <c r="F208" i="2"/>
  <c r="E208" i="2"/>
  <c r="D208" i="2"/>
  <c r="C208" i="2"/>
  <c r="B208" i="2"/>
  <c r="I207" i="2"/>
  <c r="H207" i="2"/>
  <c r="G207" i="2"/>
  <c r="F207" i="2"/>
  <c r="E207" i="2"/>
  <c r="D207" i="2"/>
  <c r="C207" i="2"/>
  <c r="B207" i="2"/>
  <c r="I206" i="2"/>
  <c r="H206" i="2"/>
  <c r="G206" i="2"/>
  <c r="F206" i="2"/>
  <c r="E206" i="2"/>
  <c r="D206" i="2"/>
  <c r="C206" i="2"/>
  <c r="B206" i="2"/>
  <c r="I205" i="2"/>
  <c r="H205" i="2"/>
  <c r="G205" i="2"/>
  <c r="F205" i="2"/>
  <c r="E205" i="2"/>
  <c r="D205" i="2"/>
  <c r="C205" i="2"/>
  <c r="B205" i="2"/>
  <c r="I204" i="2"/>
  <c r="H204" i="2"/>
  <c r="G204" i="2"/>
  <c r="F204" i="2"/>
  <c r="E204" i="2"/>
  <c r="D204" i="2"/>
  <c r="C204" i="2"/>
  <c r="B204" i="2"/>
  <c r="I200" i="2"/>
  <c r="H200" i="2"/>
  <c r="G200" i="2"/>
  <c r="F200" i="2"/>
  <c r="E200" i="2"/>
  <c r="D200" i="2"/>
  <c r="C200" i="2"/>
  <c r="B200" i="2"/>
  <c r="I199" i="2"/>
  <c r="H199" i="2"/>
  <c r="G199" i="2"/>
  <c r="F199" i="2"/>
  <c r="E199" i="2"/>
  <c r="D199" i="2"/>
  <c r="C199" i="2"/>
  <c r="B199" i="2"/>
  <c r="I198" i="2"/>
  <c r="H198" i="2"/>
  <c r="G198" i="2"/>
  <c r="F198" i="2"/>
  <c r="E198" i="2"/>
  <c r="D198" i="2"/>
  <c r="C198" i="2"/>
  <c r="B198" i="2"/>
  <c r="I197" i="2"/>
  <c r="H197" i="2"/>
  <c r="G197" i="2"/>
  <c r="F197" i="2"/>
  <c r="E197" i="2"/>
  <c r="D197" i="2"/>
  <c r="C197" i="2"/>
  <c r="B197" i="2"/>
  <c r="I196" i="2"/>
  <c r="H196" i="2"/>
  <c r="G196" i="2"/>
  <c r="F196" i="2"/>
  <c r="E196" i="2"/>
  <c r="D196" i="2"/>
  <c r="C196" i="2"/>
  <c r="B196" i="2"/>
  <c r="I195" i="2"/>
  <c r="H195" i="2"/>
  <c r="G195" i="2"/>
  <c r="F195" i="2"/>
  <c r="E195" i="2"/>
  <c r="D195" i="2"/>
  <c r="C195" i="2"/>
  <c r="B195" i="2"/>
  <c r="I194" i="2"/>
  <c r="H194" i="2"/>
  <c r="G194" i="2"/>
  <c r="F194" i="2"/>
  <c r="E194" i="2"/>
  <c r="D194" i="2"/>
  <c r="C194" i="2"/>
  <c r="B194" i="2"/>
  <c r="I193" i="2"/>
  <c r="H193" i="2"/>
  <c r="G193" i="2"/>
  <c r="F193" i="2"/>
  <c r="E193" i="2"/>
  <c r="D193" i="2"/>
  <c r="C193" i="2"/>
  <c r="B193" i="2"/>
  <c r="I192" i="2"/>
  <c r="H192" i="2"/>
  <c r="G192" i="2"/>
  <c r="F192" i="2"/>
  <c r="E192" i="2"/>
  <c r="D192" i="2"/>
  <c r="C192" i="2"/>
  <c r="B192" i="2"/>
  <c r="I191" i="2"/>
  <c r="H191" i="2"/>
  <c r="G191" i="2"/>
  <c r="F191" i="2"/>
  <c r="E191" i="2"/>
  <c r="D191" i="2"/>
  <c r="C191" i="2"/>
  <c r="B191" i="2"/>
  <c r="I190" i="2"/>
  <c r="H190" i="2"/>
  <c r="G190" i="2"/>
  <c r="F190" i="2"/>
  <c r="E190" i="2"/>
  <c r="D190" i="2"/>
  <c r="C190" i="2"/>
  <c r="B190" i="2"/>
  <c r="I189" i="2"/>
  <c r="H189" i="2"/>
  <c r="G189" i="2"/>
  <c r="F189" i="2"/>
  <c r="E189" i="2"/>
  <c r="D189" i="2"/>
  <c r="C189" i="2"/>
  <c r="B189" i="2"/>
  <c r="I188" i="2"/>
  <c r="H188" i="2"/>
  <c r="G188" i="2"/>
  <c r="F188" i="2"/>
  <c r="E188" i="2"/>
  <c r="D188" i="2"/>
  <c r="C188" i="2"/>
  <c r="B188" i="2"/>
  <c r="I187" i="2"/>
  <c r="H187" i="2"/>
  <c r="G187" i="2"/>
  <c r="F187" i="2"/>
  <c r="E187" i="2"/>
  <c r="D187" i="2"/>
  <c r="C187" i="2"/>
  <c r="B187" i="2"/>
  <c r="I186" i="2"/>
  <c r="H186" i="2"/>
  <c r="G186" i="2"/>
  <c r="F186" i="2"/>
  <c r="E186" i="2"/>
  <c r="D186" i="2"/>
  <c r="C186" i="2"/>
  <c r="B186" i="2"/>
  <c r="I185" i="2"/>
  <c r="H185" i="2"/>
  <c r="G185" i="2"/>
  <c r="F185" i="2"/>
  <c r="E185" i="2"/>
  <c r="D185" i="2"/>
  <c r="C185" i="2"/>
  <c r="B185" i="2"/>
  <c r="I184" i="2"/>
  <c r="H184" i="2"/>
  <c r="G184" i="2"/>
  <c r="F184" i="2"/>
  <c r="E184" i="2"/>
  <c r="D184" i="2"/>
  <c r="C184" i="2"/>
  <c r="B184" i="2"/>
  <c r="I180" i="2"/>
  <c r="H180" i="2"/>
  <c r="G180" i="2"/>
  <c r="F180" i="2"/>
  <c r="E180" i="2"/>
  <c r="D180" i="2"/>
  <c r="C180" i="2"/>
  <c r="B180" i="2"/>
  <c r="I179" i="2"/>
  <c r="H179" i="2"/>
  <c r="G179" i="2"/>
  <c r="F179" i="2"/>
  <c r="E179" i="2"/>
  <c r="D179" i="2"/>
  <c r="C179" i="2"/>
  <c r="B179" i="2"/>
  <c r="I178" i="2"/>
  <c r="H178" i="2"/>
  <c r="G178" i="2"/>
  <c r="F178" i="2"/>
  <c r="E178" i="2"/>
  <c r="D178" i="2"/>
  <c r="C178" i="2"/>
  <c r="B178" i="2"/>
  <c r="I177" i="2"/>
  <c r="H177" i="2"/>
  <c r="G177" i="2"/>
  <c r="F177" i="2"/>
  <c r="E177" i="2"/>
  <c r="D177" i="2"/>
  <c r="C177" i="2"/>
  <c r="B177" i="2"/>
  <c r="I176" i="2"/>
  <c r="H176" i="2"/>
  <c r="G176" i="2"/>
  <c r="F176" i="2"/>
  <c r="E176" i="2"/>
  <c r="D176" i="2"/>
  <c r="C176" i="2"/>
  <c r="B176" i="2"/>
  <c r="I175" i="2"/>
  <c r="H175" i="2"/>
  <c r="G175" i="2"/>
  <c r="F175" i="2"/>
  <c r="E175" i="2"/>
  <c r="D175" i="2"/>
  <c r="C175" i="2"/>
  <c r="B175" i="2"/>
  <c r="I174" i="2"/>
  <c r="H174" i="2"/>
  <c r="G174" i="2"/>
  <c r="F174" i="2"/>
  <c r="E174" i="2"/>
  <c r="D174" i="2"/>
  <c r="C174" i="2"/>
  <c r="B174" i="2"/>
  <c r="I173" i="2"/>
  <c r="H173" i="2"/>
  <c r="G173" i="2"/>
  <c r="F173" i="2"/>
  <c r="E173" i="2"/>
  <c r="D173" i="2"/>
  <c r="C173" i="2"/>
  <c r="B173" i="2"/>
  <c r="I172" i="2"/>
  <c r="H172" i="2"/>
  <c r="G172" i="2"/>
  <c r="F172" i="2"/>
  <c r="E172" i="2"/>
  <c r="D172" i="2"/>
  <c r="C172" i="2"/>
  <c r="B172" i="2"/>
  <c r="I171" i="2"/>
  <c r="H171" i="2"/>
  <c r="G171" i="2"/>
  <c r="F171" i="2"/>
  <c r="E171" i="2"/>
  <c r="D171" i="2"/>
  <c r="C171" i="2"/>
  <c r="B171" i="2"/>
  <c r="I170" i="2"/>
  <c r="H170" i="2"/>
  <c r="G170" i="2"/>
  <c r="F170" i="2"/>
  <c r="E170" i="2"/>
  <c r="D170" i="2"/>
  <c r="C170" i="2"/>
  <c r="B170" i="2"/>
  <c r="I169" i="2"/>
  <c r="H169" i="2"/>
  <c r="G169" i="2"/>
  <c r="F169" i="2"/>
  <c r="E169" i="2"/>
  <c r="D169" i="2"/>
  <c r="C169" i="2"/>
  <c r="B169" i="2"/>
  <c r="I168" i="2"/>
  <c r="H168" i="2"/>
  <c r="G168" i="2"/>
  <c r="F168" i="2"/>
  <c r="E168" i="2"/>
  <c r="D168" i="2"/>
  <c r="C168" i="2"/>
  <c r="B168" i="2"/>
  <c r="I167" i="2"/>
  <c r="H167" i="2"/>
  <c r="G167" i="2"/>
  <c r="F167" i="2"/>
  <c r="E167" i="2"/>
  <c r="D167" i="2"/>
  <c r="C167" i="2"/>
  <c r="B167" i="2"/>
  <c r="I166" i="2"/>
  <c r="H166" i="2"/>
  <c r="G166" i="2"/>
  <c r="F166" i="2"/>
  <c r="E166" i="2"/>
  <c r="D166" i="2"/>
  <c r="C166" i="2"/>
  <c r="B166" i="2"/>
  <c r="I165" i="2"/>
  <c r="H165" i="2"/>
  <c r="G165" i="2"/>
  <c r="F165" i="2"/>
  <c r="E165" i="2"/>
  <c r="D165" i="2"/>
  <c r="C165" i="2"/>
  <c r="B165" i="2"/>
  <c r="I164" i="2"/>
  <c r="H164" i="2"/>
  <c r="G164" i="2"/>
  <c r="F164" i="2"/>
  <c r="E164" i="2"/>
  <c r="D164" i="2"/>
  <c r="C164" i="2"/>
  <c r="B164" i="2"/>
  <c r="I160" i="2"/>
  <c r="H160" i="2"/>
  <c r="G160" i="2"/>
  <c r="F160" i="2"/>
  <c r="E160" i="2"/>
  <c r="D160" i="2"/>
  <c r="C160" i="2"/>
  <c r="B160" i="2"/>
  <c r="I159" i="2"/>
  <c r="H159" i="2"/>
  <c r="G159" i="2"/>
  <c r="F159" i="2"/>
  <c r="E159" i="2"/>
  <c r="D159" i="2"/>
  <c r="C159" i="2"/>
  <c r="B159" i="2"/>
  <c r="I158" i="2"/>
  <c r="H158" i="2"/>
  <c r="G158" i="2"/>
  <c r="F158" i="2"/>
  <c r="E158" i="2"/>
  <c r="D158" i="2"/>
  <c r="C158" i="2"/>
  <c r="B158" i="2"/>
  <c r="I157" i="2"/>
  <c r="H157" i="2"/>
  <c r="G157" i="2"/>
  <c r="F157" i="2"/>
  <c r="E157" i="2"/>
  <c r="D157" i="2"/>
  <c r="C157" i="2"/>
  <c r="B157" i="2"/>
  <c r="I156" i="2"/>
  <c r="H156" i="2"/>
  <c r="G156" i="2"/>
  <c r="F156" i="2"/>
  <c r="E156" i="2"/>
  <c r="D156" i="2"/>
  <c r="C156" i="2"/>
  <c r="B156" i="2"/>
  <c r="I155" i="2"/>
  <c r="H155" i="2"/>
  <c r="G155" i="2"/>
  <c r="F155" i="2"/>
  <c r="E155" i="2"/>
  <c r="D155" i="2"/>
  <c r="C155" i="2"/>
  <c r="B155" i="2"/>
  <c r="I154" i="2"/>
  <c r="H154" i="2"/>
  <c r="G154" i="2"/>
  <c r="F154" i="2"/>
  <c r="E154" i="2"/>
  <c r="D154" i="2"/>
  <c r="C154" i="2"/>
  <c r="B154" i="2"/>
  <c r="I153" i="2"/>
  <c r="H153" i="2"/>
  <c r="G153" i="2"/>
  <c r="F153" i="2"/>
  <c r="E153" i="2"/>
  <c r="D153" i="2"/>
  <c r="C153" i="2"/>
  <c r="B153" i="2"/>
  <c r="I152" i="2"/>
  <c r="H152" i="2"/>
  <c r="G152" i="2"/>
  <c r="F152" i="2"/>
  <c r="E152" i="2"/>
  <c r="D152" i="2"/>
  <c r="C152" i="2"/>
  <c r="B152" i="2"/>
  <c r="I151" i="2"/>
  <c r="H151" i="2"/>
  <c r="G151" i="2"/>
  <c r="F151" i="2"/>
  <c r="E151" i="2"/>
  <c r="D151" i="2"/>
  <c r="C151" i="2"/>
  <c r="B151" i="2"/>
  <c r="I150" i="2"/>
  <c r="H150" i="2"/>
  <c r="G150" i="2"/>
  <c r="F150" i="2"/>
  <c r="E150" i="2"/>
  <c r="D150" i="2"/>
  <c r="C150" i="2"/>
  <c r="B150" i="2"/>
  <c r="I149" i="2"/>
  <c r="H149" i="2"/>
  <c r="G149" i="2"/>
  <c r="F149" i="2"/>
  <c r="E149" i="2"/>
  <c r="D149" i="2"/>
  <c r="C149" i="2"/>
  <c r="B149" i="2"/>
  <c r="I148" i="2"/>
  <c r="H148" i="2"/>
  <c r="G148" i="2"/>
  <c r="F148" i="2"/>
  <c r="E148" i="2"/>
  <c r="D148" i="2"/>
  <c r="C148" i="2"/>
  <c r="B148" i="2"/>
  <c r="I147" i="2"/>
  <c r="H147" i="2"/>
  <c r="G147" i="2"/>
  <c r="F147" i="2"/>
  <c r="E147" i="2"/>
  <c r="D147" i="2"/>
  <c r="C147" i="2"/>
  <c r="B147" i="2"/>
  <c r="I146" i="2"/>
  <c r="H146" i="2"/>
  <c r="G146" i="2"/>
  <c r="F146" i="2"/>
  <c r="E146" i="2"/>
  <c r="D146" i="2"/>
  <c r="C146" i="2"/>
  <c r="B146" i="2"/>
  <c r="I145" i="2"/>
  <c r="H145" i="2"/>
  <c r="G145" i="2"/>
  <c r="F145" i="2"/>
  <c r="E145" i="2"/>
  <c r="D145" i="2"/>
  <c r="C145" i="2"/>
  <c r="B145" i="2"/>
  <c r="I144" i="2"/>
  <c r="H144" i="2"/>
  <c r="G144" i="2"/>
  <c r="F144" i="2"/>
  <c r="E144" i="2"/>
  <c r="D144" i="2"/>
  <c r="C144" i="2"/>
  <c r="B144" i="2"/>
  <c r="I140" i="2"/>
  <c r="H140" i="2"/>
  <c r="G140" i="2"/>
  <c r="F140" i="2"/>
  <c r="E140" i="2"/>
  <c r="D140" i="2"/>
  <c r="C140" i="2"/>
  <c r="B140" i="2"/>
  <c r="I139" i="2"/>
  <c r="H139" i="2"/>
  <c r="G139" i="2"/>
  <c r="F139" i="2"/>
  <c r="E139" i="2"/>
  <c r="D139" i="2"/>
  <c r="C139" i="2"/>
  <c r="B139" i="2"/>
  <c r="I138" i="2"/>
  <c r="H138" i="2"/>
  <c r="G138" i="2"/>
  <c r="F138" i="2"/>
  <c r="E138" i="2"/>
  <c r="D138" i="2"/>
  <c r="C138" i="2"/>
  <c r="B138" i="2"/>
  <c r="I137" i="2"/>
  <c r="H137" i="2"/>
  <c r="G137" i="2"/>
  <c r="F137" i="2"/>
  <c r="E137" i="2"/>
  <c r="D137" i="2"/>
  <c r="C137" i="2"/>
  <c r="B137" i="2"/>
  <c r="I136" i="2"/>
  <c r="H136" i="2"/>
  <c r="G136" i="2"/>
  <c r="F136" i="2"/>
  <c r="E136" i="2"/>
  <c r="D136" i="2"/>
  <c r="C136" i="2"/>
  <c r="B136" i="2"/>
  <c r="I135" i="2"/>
  <c r="H135" i="2"/>
  <c r="G135" i="2"/>
  <c r="F135" i="2"/>
  <c r="E135" i="2"/>
  <c r="D135" i="2"/>
  <c r="C135" i="2"/>
  <c r="B135" i="2"/>
  <c r="I134" i="2"/>
  <c r="H134" i="2"/>
  <c r="G134" i="2"/>
  <c r="F134" i="2"/>
  <c r="E134" i="2"/>
  <c r="D134" i="2"/>
  <c r="C134" i="2"/>
  <c r="B134" i="2"/>
  <c r="I133" i="2"/>
  <c r="H133" i="2"/>
  <c r="G133" i="2"/>
  <c r="F133" i="2"/>
  <c r="E133" i="2"/>
  <c r="D133" i="2"/>
  <c r="C133" i="2"/>
  <c r="B133" i="2"/>
  <c r="I132" i="2"/>
  <c r="H132" i="2"/>
  <c r="G132" i="2"/>
  <c r="F132" i="2"/>
  <c r="E132" i="2"/>
  <c r="D132" i="2"/>
  <c r="C132" i="2"/>
  <c r="B132" i="2"/>
  <c r="I131" i="2"/>
  <c r="H131" i="2"/>
  <c r="G131" i="2"/>
  <c r="F131" i="2"/>
  <c r="E131" i="2"/>
  <c r="D131" i="2"/>
  <c r="C131" i="2"/>
  <c r="B131" i="2"/>
  <c r="I130" i="2"/>
  <c r="H130" i="2"/>
  <c r="G130" i="2"/>
  <c r="F130" i="2"/>
  <c r="E130" i="2"/>
  <c r="D130" i="2"/>
  <c r="C130" i="2"/>
  <c r="B130" i="2"/>
  <c r="I129" i="2"/>
  <c r="H129" i="2"/>
  <c r="G129" i="2"/>
  <c r="F129" i="2"/>
  <c r="E129" i="2"/>
  <c r="D129" i="2"/>
  <c r="C129" i="2"/>
  <c r="B129" i="2"/>
  <c r="I128" i="2"/>
  <c r="H128" i="2"/>
  <c r="G128" i="2"/>
  <c r="F128" i="2"/>
  <c r="E128" i="2"/>
  <c r="D128" i="2"/>
  <c r="C128" i="2"/>
  <c r="B128" i="2"/>
  <c r="I127" i="2"/>
  <c r="H127" i="2"/>
  <c r="G127" i="2"/>
  <c r="F127" i="2"/>
  <c r="E127" i="2"/>
  <c r="D127" i="2"/>
  <c r="C127" i="2"/>
  <c r="B127" i="2"/>
  <c r="I126" i="2"/>
  <c r="H126" i="2"/>
  <c r="G126" i="2"/>
  <c r="F126" i="2"/>
  <c r="E126" i="2"/>
  <c r="D126" i="2"/>
  <c r="C126" i="2"/>
  <c r="B126" i="2"/>
  <c r="I125" i="2"/>
  <c r="H125" i="2"/>
  <c r="G125" i="2"/>
  <c r="F125" i="2"/>
  <c r="E125" i="2"/>
  <c r="D125" i="2"/>
  <c r="C125" i="2"/>
  <c r="B125" i="2"/>
  <c r="I124" i="2"/>
  <c r="H124" i="2"/>
  <c r="G124" i="2"/>
  <c r="F124" i="2"/>
  <c r="E124" i="2"/>
  <c r="D124" i="2"/>
  <c r="C124" i="2"/>
  <c r="B124" i="2"/>
  <c r="I120" i="2"/>
  <c r="H120" i="2"/>
  <c r="G120" i="2"/>
  <c r="F120" i="2"/>
  <c r="E120" i="2"/>
  <c r="D120" i="2"/>
  <c r="C120" i="2"/>
  <c r="B120" i="2"/>
  <c r="I119" i="2"/>
  <c r="H119" i="2"/>
  <c r="G119" i="2"/>
  <c r="F119" i="2"/>
  <c r="E119" i="2"/>
  <c r="D119" i="2"/>
  <c r="C119" i="2"/>
  <c r="B119" i="2"/>
  <c r="I118" i="2"/>
  <c r="H118" i="2"/>
  <c r="G118" i="2"/>
  <c r="F118" i="2"/>
  <c r="E118" i="2"/>
  <c r="D118" i="2"/>
  <c r="C118" i="2"/>
  <c r="B118" i="2"/>
  <c r="I117" i="2"/>
  <c r="H117" i="2"/>
  <c r="G117" i="2"/>
  <c r="F117" i="2"/>
  <c r="E117" i="2"/>
  <c r="D117" i="2"/>
  <c r="C117" i="2"/>
  <c r="B117" i="2"/>
  <c r="I116" i="2"/>
  <c r="H116" i="2"/>
  <c r="G116" i="2"/>
  <c r="F116" i="2"/>
  <c r="E116" i="2"/>
  <c r="D116" i="2"/>
  <c r="C116" i="2"/>
  <c r="B116" i="2"/>
  <c r="I115" i="2"/>
  <c r="H115" i="2"/>
  <c r="G115" i="2"/>
  <c r="F115" i="2"/>
  <c r="E115" i="2"/>
  <c r="D115" i="2"/>
  <c r="C115" i="2"/>
  <c r="B115" i="2"/>
  <c r="I114" i="2"/>
  <c r="H114" i="2"/>
  <c r="G114" i="2"/>
  <c r="F114" i="2"/>
  <c r="E114" i="2"/>
  <c r="D114" i="2"/>
  <c r="C114" i="2"/>
  <c r="B114" i="2"/>
  <c r="I113" i="2"/>
  <c r="H113" i="2"/>
  <c r="G113" i="2"/>
  <c r="F113" i="2"/>
  <c r="E113" i="2"/>
  <c r="D113" i="2"/>
  <c r="C113" i="2"/>
  <c r="B113" i="2"/>
  <c r="I112" i="2"/>
  <c r="H112" i="2"/>
  <c r="G112" i="2"/>
  <c r="F112" i="2"/>
  <c r="E112" i="2"/>
  <c r="D112" i="2"/>
  <c r="C112" i="2"/>
  <c r="B112" i="2"/>
  <c r="I111" i="2"/>
  <c r="H111" i="2"/>
  <c r="G111" i="2"/>
  <c r="F111" i="2"/>
  <c r="E111" i="2"/>
  <c r="D111" i="2"/>
  <c r="C111" i="2"/>
  <c r="B111" i="2"/>
  <c r="I110" i="2"/>
  <c r="H110" i="2"/>
  <c r="G110" i="2"/>
  <c r="F110" i="2"/>
  <c r="E110" i="2"/>
  <c r="D110" i="2"/>
  <c r="C110" i="2"/>
  <c r="B110" i="2"/>
  <c r="I109" i="2"/>
  <c r="H109" i="2"/>
  <c r="G109" i="2"/>
  <c r="F109" i="2"/>
  <c r="E109" i="2"/>
  <c r="D109" i="2"/>
  <c r="C109" i="2"/>
  <c r="B109" i="2"/>
  <c r="I108" i="2"/>
  <c r="H108" i="2"/>
  <c r="G108" i="2"/>
  <c r="F108" i="2"/>
  <c r="E108" i="2"/>
  <c r="D108" i="2"/>
  <c r="C108" i="2"/>
  <c r="B108" i="2"/>
  <c r="I107" i="2"/>
  <c r="H107" i="2"/>
  <c r="G107" i="2"/>
  <c r="F107" i="2"/>
  <c r="E107" i="2"/>
  <c r="D107" i="2"/>
  <c r="C107" i="2"/>
  <c r="B107" i="2"/>
  <c r="I106" i="2"/>
  <c r="H106" i="2"/>
  <c r="G106" i="2"/>
  <c r="F106" i="2"/>
  <c r="E106" i="2"/>
  <c r="D106" i="2"/>
  <c r="C106" i="2"/>
  <c r="B106" i="2"/>
  <c r="I105" i="2"/>
  <c r="H105" i="2"/>
  <c r="G105" i="2"/>
  <c r="F105" i="2"/>
  <c r="E105" i="2"/>
  <c r="D105" i="2"/>
  <c r="C105" i="2"/>
  <c r="B105" i="2"/>
  <c r="I104" i="2"/>
  <c r="H104" i="2"/>
  <c r="G104" i="2"/>
  <c r="F104" i="2"/>
  <c r="E104" i="2"/>
  <c r="D104" i="2"/>
  <c r="C104" i="2"/>
  <c r="B104" i="2"/>
  <c r="I100" i="2"/>
  <c r="H100" i="2"/>
  <c r="G100" i="2"/>
  <c r="F100" i="2"/>
  <c r="E100" i="2"/>
  <c r="D100" i="2"/>
  <c r="C100" i="2"/>
  <c r="B100" i="2"/>
  <c r="I99" i="2"/>
  <c r="H99" i="2"/>
  <c r="G99" i="2"/>
  <c r="F99" i="2"/>
  <c r="E99" i="2"/>
  <c r="D99" i="2"/>
  <c r="C99" i="2"/>
  <c r="B99" i="2"/>
  <c r="I98" i="2"/>
  <c r="H98" i="2"/>
  <c r="G98" i="2"/>
  <c r="F98" i="2"/>
  <c r="E98" i="2"/>
  <c r="D98" i="2"/>
  <c r="C98" i="2"/>
  <c r="B98" i="2"/>
  <c r="I97" i="2"/>
  <c r="H97" i="2"/>
  <c r="G97" i="2"/>
  <c r="F97" i="2"/>
  <c r="E97" i="2"/>
  <c r="D97" i="2"/>
  <c r="C97" i="2"/>
  <c r="B97" i="2"/>
  <c r="I96" i="2"/>
  <c r="H96" i="2"/>
  <c r="G96" i="2"/>
  <c r="F96" i="2"/>
  <c r="E96" i="2"/>
  <c r="D96" i="2"/>
  <c r="C96" i="2"/>
  <c r="B96" i="2"/>
  <c r="I95" i="2"/>
  <c r="H95" i="2"/>
  <c r="G95" i="2"/>
  <c r="F95" i="2"/>
  <c r="E95" i="2"/>
  <c r="D95" i="2"/>
  <c r="C95" i="2"/>
  <c r="B95" i="2"/>
  <c r="I94" i="2"/>
  <c r="H94" i="2"/>
  <c r="G94" i="2"/>
  <c r="F94" i="2"/>
  <c r="E94" i="2"/>
  <c r="D94" i="2"/>
  <c r="C94" i="2"/>
  <c r="B94" i="2"/>
  <c r="I93" i="2"/>
  <c r="H93" i="2"/>
  <c r="G93" i="2"/>
  <c r="F93" i="2"/>
  <c r="E93" i="2"/>
  <c r="D93" i="2"/>
  <c r="C93" i="2"/>
  <c r="B93" i="2"/>
  <c r="I92" i="2"/>
  <c r="H92" i="2"/>
  <c r="G92" i="2"/>
  <c r="F92" i="2"/>
  <c r="E92" i="2"/>
  <c r="D92" i="2"/>
  <c r="C92" i="2"/>
  <c r="B92" i="2"/>
  <c r="I91" i="2"/>
  <c r="H91" i="2"/>
  <c r="G91" i="2"/>
  <c r="F91" i="2"/>
  <c r="E91" i="2"/>
  <c r="D91" i="2"/>
  <c r="C91" i="2"/>
  <c r="B91" i="2"/>
  <c r="I90" i="2"/>
  <c r="H90" i="2"/>
  <c r="G90" i="2"/>
  <c r="F90" i="2"/>
  <c r="E90" i="2"/>
  <c r="D90" i="2"/>
  <c r="C90" i="2"/>
  <c r="B90" i="2"/>
  <c r="I89" i="2"/>
  <c r="H89" i="2"/>
  <c r="G89" i="2"/>
  <c r="F89" i="2"/>
  <c r="E89" i="2"/>
  <c r="D89" i="2"/>
  <c r="C89" i="2"/>
  <c r="B89" i="2"/>
  <c r="I88" i="2"/>
  <c r="H88" i="2"/>
  <c r="G88" i="2"/>
  <c r="F88" i="2"/>
  <c r="E88" i="2"/>
  <c r="D88" i="2"/>
  <c r="C88" i="2"/>
  <c r="B88" i="2"/>
  <c r="I87" i="2"/>
  <c r="H87" i="2"/>
  <c r="G87" i="2"/>
  <c r="F87" i="2"/>
  <c r="E87" i="2"/>
  <c r="D87" i="2"/>
  <c r="C87" i="2"/>
  <c r="B87" i="2"/>
  <c r="I86" i="2"/>
  <c r="H86" i="2"/>
  <c r="G86" i="2"/>
  <c r="F86" i="2"/>
  <c r="E86" i="2"/>
  <c r="D86" i="2"/>
  <c r="C86" i="2"/>
  <c r="B86" i="2"/>
  <c r="I85" i="2"/>
  <c r="H85" i="2"/>
  <c r="G85" i="2"/>
  <c r="F85" i="2"/>
  <c r="E85" i="2"/>
  <c r="D85" i="2"/>
  <c r="C85" i="2"/>
  <c r="B85" i="2"/>
  <c r="I84" i="2"/>
  <c r="H84" i="2"/>
  <c r="G84" i="2"/>
  <c r="F84" i="2"/>
  <c r="E84" i="2"/>
  <c r="D84" i="2"/>
  <c r="C84" i="2"/>
  <c r="B84" i="2"/>
  <c r="I80" i="2"/>
  <c r="H80" i="2"/>
  <c r="G80" i="2"/>
  <c r="F80" i="2"/>
  <c r="E80" i="2"/>
  <c r="D80" i="2"/>
  <c r="C80" i="2"/>
  <c r="B80" i="2"/>
  <c r="I79" i="2"/>
  <c r="H79" i="2"/>
  <c r="G79" i="2"/>
  <c r="F79" i="2"/>
  <c r="E79" i="2"/>
  <c r="D79" i="2"/>
  <c r="C79" i="2"/>
  <c r="B79" i="2"/>
  <c r="I78" i="2"/>
  <c r="H78" i="2"/>
  <c r="G78" i="2"/>
  <c r="F78" i="2"/>
  <c r="E78" i="2"/>
  <c r="D78" i="2"/>
  <c r="C78" i="2"/>
  <c r="B78" i="2"/>
  <c r="I77" i="2"/>
  <c r="H77" i="2"/>
  <c r="G77" i="2"/>
  <c r="F77" i="2"/>
  <c r="E77" i="2"/>
  <c r="D77" i="2"/>
  <c r="C77" i="2"/>
  <c r="B77" i="2"/>
  <c r="I76" i="2"/>
  <c r="H76" i="2"/>
  <c r="G76" i="2"/>
  <c r="F76" i="2"/>
  <c r="E76" i="2"/>
  <c r="D76" i="2"/>
  <c r="C76" i="2"/>
  <c r="B76" i="2"/>
  <c r="I75" i="2"/>
  <c r="H75" i="2"/>
  <c r="G75" i="2"/>
  <c r="F75" i="2"/>
  <c r="E75" i="2"/>
  <c r="D75" i="2"/>
  <c r="C75" i="2"/>
  <c r="B75" i="2"/>
  <c r="I74" i="2"/>
  <c r="H74" i="2"/>
  <c r="G74" i="2"/>
  <c r="F74" i="2"/>
  <c r="E74" i="2"/>
  <c r="D74" i="2"/>
  <c r="C74" i="2"/>
  <c r="B74" i="2"/>
  <c r="I73" i="2"/>
  <c r="H73" i="2"/>
  <c r="G73" i="2"/>
  <c r="F73" i="2"/>
  <c r="E73" i="2"/>
  <c r="D73" i="2"/>
  <c r="C73" i="2"/>
  <c r="B73" i="2"/>
  <c r="I72" i="2"/>
  <c r="H72" i="2"/>
  <c r="G72" i="2"/>
  <c r="F72" i="2"/>
  <c r="E72" i="2"/>
  <c r="D72" i="2"/>
  <c r="C72" i="2"/>
  <c r="B72" i="2"/>
  <c r="I71" i="2"/>
  <c r="H71" i="2"/>
  <c r="G71" i="2"/>
  <c r="F71" i="2"/>
  <c r="E71" i="2"/>
  <c r="D71" i="2"/>
  <c r="C71" i="2"/>
  <c r="B71" i="2"/>
  <c r="I70" i="2"/>
  <c r="H70" i="2"/>
  <c r="G70" i="2"/>
  <c r="F70" i="2"/>
  <c r="E70" i="2"/>
  <c r="D70" i="2"/>
  <c r="C70" i="2"/>
  <c r="B70" i="2"/>
  <c r="I69" i="2"/>
  <c r="H69" i="2"/>
  <c r="G69" i="2"/>
  <c r="F69" i="2"/>
  <c r="E69" i="2"/>
  <c r="D69" i="2"/>
  <c r="C69" i="2"/>
  <c r="B69" i="2"/>
  <c r="I68" i="2"/>
  <c r="H68" i="2"/>
  <c r="G68" i="2"/>
  <c r="F68" i="2"/>
  <c r="E68" i="2"/>
  <c r="D68" i="2"/>
  <c r="C68" i="2"/>
  <c r="B68" i="2"/>
  <c r="I67" i="2"/>
  <c r="H67" i="2"/>
  <c r="G67" i="2"/>
  <c r="F67" i="2"/>
  <c r="E67" i="2"/>
  <c r="D67" i="2"/>
  <c r="C67" i="2"/>
  <c r="B67" i="2"/>
  <c r="I66" i="2"/>
  <c r="H66" i="2"/>
  <c r="G66" i="2"/>
  <c r="F66" i="2"/>
  <c r="E66" i="2"/>
  <c r="D66" i="2"/>
  <c r="C66" i="2"/>
  <c r="B66" i="2"/>
  <c r="I65" i="2"/>
  <c r="H65" i="2"/>
  <c r="G65" i="2"/>
  <c r="F65" i="2"/>
  <c r="E65" i="2"/>
  <c r="D65" i="2"/>
  <c r="C65" i="2"/>
  <c r="B65" i="2"/>
  <c r="I64" i="2"/>
  <c r="H64" i="2"/>
  <c r="G64" i="2"/>
  <c r="F64" i="2"/>
  <c r="E64" i="2"/>
  <c r="D64" i="2"/>
  <c r="C64" i="2"/>
  <c r="B64" i="2"/>
  <c r="I60" i="2"/>
  <c r="H60" i="2"/>
  <c r="G60" i="2"/>
  <c r="F60" i="2"/>
  <c r="E60" i="2"/>
  <c r="D60" i="2"/>
  <c r="C60" i="2"/>
  <c r="B60" i="2"/>
  <c r="I59" i="2"/>
  <c r="H59" i="2"/>
  <c r="G59" i="2"/>
  <c r="F59" i="2"/>
  <c r="E59" i="2"/>
  <c r="D59" i="2"/>
  <c r="C59" i="2"/>
  <c r="B59" i="2"/>
  <c r="I58" i="2"/>
  <c r="H58" i="2"/>
  <c r="G58" i="2"/>
  <c r="F58" i="2"/>
  <c r="E58" i="2"/>
  <c r="D58" i="2"/>
  <c r="C58" i="2"/>
  <c r="B58" i="2"/>
  <c r="I57" i="2"/>
  <c r="H57" i="2"/>
  <c r="G57" i="2"/>
  <c r="F57" i="2"/>
  <c r="E57" i="2"/>
  <c r="D57" i="2"/>
  <c r="C57" i="2"/>
  <c r="B57" i="2"/>
  <c r="I56" i="2"/>
  <c r="H56" i="2"/>
  <c r="G56" i="2"/>
  <c r="F56" i="2"/>
  <c r="E56" i="2"/>
  <c r="D56" i="2"/>
  <c r="C56" i="2"/>
  <c r="B56" i="2"/>
  <c r="I55" i="2"/>
  <c r="H55" i="2"/>
  <c r="G55" i="2"/>
  <c r="F55" i="2"/>
  <c r="E55" i="2"/>
  <c r="D55" i="2"/>
  <c r="C55" i="2"/>
  <c r="B55" i="2"/>
  <c r="I54" i="2"/>
  <c r="H54" i="2"/>
  <c r="G54" i="2"/>
  <c r="F54" i="2"/>
  <c r="E54" i="2"/>
  <c r="D54" i="2"/>
  <c r="C54" i="2"/>
  <c r="B54" i="2"/>
  <c r="I53" i="2"/>
  <c r="H53" i="2"/>
  <c r="G53" i="2"/>
  <c r="F53" i="2"/>
  <c r="E53" i="2"/>
  <c r="D53" i="2"/>
  <c r="C53" i="2"/>
  <c r="B53" i="2"/>
  <c r="I52" i="2"/>
  <c r="H52" i="2"/>
  <c r="G52" i="2"/>
  <c r="F52" i="2"/>
  <c r="E52" i="2"/>
  <c r="D52" i="2"/>
  <c r="C52" i="2"/>
  <c r="B52" i="2"/>
  <c r="I51" i="2"/>
  <c r="H51" i="2"/>
  <c r="G51" i="2"/>
  <c r="F51" i="2"/>
  <c r="E51" i="2"/>
  <c r="D51" i="2"/>
  <c r="C51" i="2"/>
  <c r="B51" i="2"/>
  <c r="I50" i="2"/>
  <c r="H50" i="2"/>
  <c r="G50" i="2"/>
  <c r="F50" i="2"/>
  <c r="E50" i="2"/>
  <c r="D50" i="2"/>
  <c r="C50" i="2"/>
  <c r="B50" i="2"/>
  <c r="I49" i="2"/>
  <c r="H49" i="2"/>
  <c r="G49" i="2"/>
  <c r="F49" i="2"/>
  <c r="E49" i="2"/>
  <c r="D49" i="2"/>
  <c r="C49" i="2"/>
  <c r="B49" i="2"/>
  <c r="I48" i="2"/>
  <c r="H48" i="2"/>
  <c r="G48" i="2"/>
  <c r="F48" i="2"/>
  <c r="E48" i="2"/>
  <c r="D48" i="2"/>
  <c r="C48" i="2"/>
  <c r="B48" i="2"/>
  <c r="I47" i="2"/>
  <c r="H47" i="2"/>
  <c r="G47" i="2"/>
  <c r="F47" i="2"/>
  <c r="E47" i="2"/>
  <c r="D47" i="2"/>
  <c r="C47" i="2"/>
  <c r="B47" i="2"/>
  <c r="I46" i="2"/>
  <c r="H46" i="2"/>
  <c r="G46" i="2"/>
  <c r="F46" i="2"/>
  <c r="E46" i="2"/>
  <c r="D46" i="2"/>
  <c r="C46" i="2"/>
  <c r="B46" i="2"/>
  <c r="I45" i="2"/>
  <c r="H45" i="2"/>
  <c r="G45" i="2"/>
  <c r="F45" i="2"/>
  <c r="E45" i="2"/>
  <c r="D45" i="2"/>
  <c r="C45" i="2"/>
  <c r="B45" i="2"/>
  <c r="I44" i="2"/>
  <c r="H44" i="2"/>
  <c r="G44" i="2"/>
  <c r="F44" i="2"/>
  <c r="E44" i="2"/>
  <c r="D44" i="2"/>
  <c r="C44" i="2"/>
  <c r="B44" i="2"/>
  <c r="I40" i="2"/>
  <c r="H40" i="2"/>
  <c r="G40" i="2"/>
  <c r="F40" i="2"/>
  <c r="E40" i="2"/>
  <c r="D40" i="2"/>
  <c r="C40" i="2"/>
  <c r="B40" i="2"/>
  <c r="I39" i="2"/>
  <c r="H39" i="2"/>
  <c r="G39" i="2"/>
  <c r="F39" i="2"/>
  <c r="E39" i="2"/>
  <c r="D39" i="2"/>
  <c r="C39" i="2"/>
  <c r="B39" i="2"/>
  <c r="I38" i="2"/>
  <c r="H38" i="2"/>
  <c r="G38" i="2"/>
  <c r="F38" i="2"/>
  <c r="E38" i="2"/>
  <c r="D38" i="2"/>
  <c r="C38" i="2"/>
  <c r="B38" i="2"/>
  <c r="I37" i="2"/>
  <c r="H37" i="2"/>
  <c r="G37" i="2"/>
  <c r="F37" i="2"/>
  <c r="E37" i="2"/>
  <c r="D37" i="2"/>
  <c r="C37" i="2"/>
  <c r="B37" i="2"/>
  <c r="I36" i="2"/>
  <c r="H36" i="2"/>
  <c r="G36" i="2"/>
  <c r="F36" i="2"/>
  <c r="E36" i="2"/>
  <c r="D36" i="2"/>
  <c r="C36" i="2"/>
  <c r="B36" i="2"/>
  <c r="I35" i="2"/>
  <c r="H35" i="2"/>
  <c r="G35" i="2"/>
  <c r="F35" i="2"/>
  <c r="E35" i="2"/>
  <c r="D35" i="2"/>
  <c r="C35" i="2"/>
  <c r="B35" i="2"/>
  <c r="I34" i="2"/>
  <c r="H34" i="2"/>
  <c r="G34" i="2"/>
  <c r="F34" i="2"/>
  <c r="E34" i="2"/>
  <c r="D34" i="2"/>
  <c r="C34" i="2"/>
  <c r="B34" i="2"/>
  <c r="I33" i="2"/>
  <c r="H33" i="2"/>
  <c r="G33" i="2"/>
  <c r="F33" i="2"/>
  <c r="E33" i="2"/>
  <c r="D33" i="2"/>
  <c r="C33" i="2"/>
  <c r="B33" i="2"/>
  <c r="I32" i="2"/>
  <c r="H32" i="2"/>
  <c r="G32" i="2"/>
  <c r="F32" i="2"/>
  <c r="E32" i="2"/>
  <c r="D32" i="2"/>
  <c r="C32" i="2"/>
  <c r="B32" i="2"/>
  <c r="I31" i="2"/>
  <c r="H31" i="2"/>
  <c r="G31" i="2"/>
  <c r="F31" i="2"/>
  <c r="E31" i="2"/>
  <c r="D31" i="2"/>
  <c r="C31" i="2"/>
  <c r="B31" i="2"/>
  <c r="I30" i="2"/>
  <c r="H30" i="2"/>
  <c r="G30" i="2"/>
  <c r="F30" i="2"/>
  <c r="E30" i="2"/>
  <c r="D30" i="2"/>
  <c r="C30" i="2"/>
  <c r="B30" i="2"/>
  <c r="I29" i="2"/>
  <c r="H29" i="2"/>
  <c r="G29" i="2"/>
  <c r="F29" i="2"/>
  <c r="E29" i="2"/>
  <c r="D29" i="2"/>
  <c r="C29" i="2"/>
  <c r="B29" i="2"/>
  <c r="I28" i="2"/>
  <c r="H28" i="2"/>
  <c r="G28" i="2"/>
  <c r="F28" i="2"/>
  <c r="E28" i="2"/>
  <c r="D28" i="2"/>
  <c r="C28" i="2"/>
  <c r="B28" i="2"/>
  <c r="I27" i="2"/>
  <c r="H27" i="2"/>
  <c r="G27" i="2"/>
  <c r="F27" i="2"/>
  <c r="E27" i="2"/>
  <c r="D27" i="2"/>
  <c r="C27" i="2"/>
  <c r="B27" i="2"/>
  <c r="I26" i="2"/>
  <c r="H26" i="2"/>
  <c r="G26" i="2"/>
  <c r="F26" i="2"/>
  <c r="E26" i="2"/>
  <c r="D26" i="2"/>
  <c r="C26" i="2"/>
  <c r="B26" i="2"/>
  <c r="I25" i="2"/>
  <c r="H25" i="2"/>
  <c r="G25" i="2"/>
  <c r="F25" i="2"/>
  <c r="E25" i="2"/>
  <c r="D25" i="2"/>
  <c r="C25" i="2"/>
  <c r="B25" i="2"/>
  <c r="I24" i="2"/>
  <c r="H24" i="2"/>
  <c r="G24" i="2"/>
  <c r="F24" i="2"/>
  <c r="E24" i="2"/>
  <c r="D24" i="2"/>
  <c r="C24" i="2"/>
  <c r="B24" i="2"/>
  <c r="I20" i="2"/>
  <c r="H20" i="2"/>
  <c r="G20" i="2"/>
  <c r="F20" i="2"/>
  <c r="E20" i="2"/>
  <c r="D20" i="2"/>
  <c r="C20" i="2"/>
  <c r="B20" i="2"/>
  <c r="I19" i="2"/>
  <c r="H19" i="2"/>
  <c r="G19" i="2"/>
  <c r="F19" i="2"/>
  <c r="E19" i="2"/>
  <c r="D19" i="2"/>
  <c r="C19" i="2"/>
  <c r="B19" i="2"/>
  <c r="I18" i="2"/>
  <c r="H18" i="2"/>
  <c r="G18" i="2"/>
  <c r="F18" i="2"/>
  <c r="E18" i="2"/>
  <c r="D18" i="2"/>
  <c r="C18" i="2"/>
  <c r="B18" i="2"/>
  <c r="I17" i="2"/>
  <c r="H17" i="2"/>
  <c r="G17" i="2"/>
  <c r="F17" i="2"/>
  <c r="E17" i="2"/>
  <c r="D17" i="2"/>
  <c r="C17" i="2"/>
  <c r="B17" i="2"/>
  <c r="I16" i="2"/>
  <c r="H16" i="2"/>
  <c r="G16" i="2"/>
  <c r="F16" i="2"/>
  <c r="E16" i="2"/>
  <c r="D16" i="2"/>
  <c r="C16" i="2"/>
  <c r="B16" i="2"/>
  <c r="I15" i="2"/>
  <c r="H15" i="2"/>
  <c r="G15" i="2"/>
  <c r="F15" i="2"/>
  <c r="E15" i="2"/>
  <c r="D15" i="2"/>
  <c r="C15" i="2"/>
  <c r="B15" i="2"/>
  <c r="I14" i="2"/>
  <c r="H14" i="2"/>
  <c r="G14" i="2"/>
  <c r="F14" i="2"/>
  <c r="E14" i="2"/>
  <c r="D14" i="2"/>
  <c r="C14" i="2"/>
  <c r="B14" i="2"/>
  <c r="I13" i="2"/>
  <c r="H13" i="2"/>
  <c r="G13" i="2"/>
  <c r="F13" i="2"/>
  <c r="E13" i="2"/>
  <c r="D13" i="2"/>
  <c r="C13" i="2"/>
  <c r="B13" i="2"/>
  <c r="I12" i="2"/>
  <c r="H12" i="2"/>
  <c r="G12" i="2"/>
  <c r="F12" i="2"/>
  <c r="E12" i="2"/>
  <c r="D12" i="2"/>
  <c r="C12" i="2"/>
  <c r="B12" i="2"/>
  <c r="I11" i="2"/>
  <c r="H11" i="2"/>
  <c r="G11" i="2"/>
  <c r="F11" i="2"/>
  <c r="E11" i="2"/>
  <c r="D11" i="2"/>
  <c r="C11" i="2"/>
  <c r="B11" i="2"/>
  <c r="I10" i="2"/>
  <c r="H10" i="2"/>
  <c r="G10" i="2"/>
  <c r="F10" i="2"/>
  <c r="E10" i="2"/>
  <c r="D10" i="2"/>
  <c r="C10" i="2"/>
  <c r="B10" i="2"/>
  <c r="I9" i="2"/>
  <c r="H9" i="2"/>
  <c r="G9" i="2"/>
  <c r="F9" i="2"/>
  <c r="E9" i="2"/>
  <c r="D9" i="2"/>
  <c r="C9" i="2"/>
  <c r="B9" i="2"/>
  <c r="I8" i="2"/>
  <c r="H8" i="2"/>
  <c r="G8" i="2"/>
  <c r="F8" i="2"/>
  <c r="E8" i="2"/>
  <c r="D8" i="2"/>
  <c r="C8" i="2"/>
  <c r="B8" i="2"/>
  <c r="I7" i="2"/>
  <c r="H7" i="2"/>
  <c r="G7" i="2"/>
  <c r="F7" i="2"/>
  <c r="E7" i="2"/>
  <c r="D7" i="2"/>
  <c r="C7" i="2"/>
  <c r="B7" i="2"/>
  <c r="I6" i="2"/>
  <c r="H6" i="2"/>
  <c r="G6" i="2"/>
  <c r="F6" i="2"/>
  <c r="E6" i="2"/>
  <c r="D6" i="2"/>
  <c r="C6" i="2"/>
  <c r="B6" i="2"/>
  <c r="I5" i="2"/>
  <c r="H5" i="2"/>
  <c r="G5" i="2"/>
  <c r="F5" i="2"/>
  <c r="E5" i="2"/>
  <c r="D5" i="2"/>
  <c r="C5" i="2"/>
  <c r="B5" i="2"/>
  <c r="I4" i="2"/>
  <c r="H4" i="2"/>
  <c r="G4" i="2"/>
  <c r="F4" i="2"/>
  <c r="E4" i="2"/>
  <c r="D4" i="2"/>
  <c r="C4" i="2"/>
  <c r="B4" i="2"/>
</calcChain>
</file>

<file path=xl/sharedStrings.xml><?xml version="1.0" encoding="utf-8"?>
<sst xmlns="http://schemas.openxmlformats.org/spreadsheetml/2006/main" count="423" uniqueCount="82">
  <si>
    <t>العمولات وتكاليف الإنتاج (المجموع( التأمين العام والصحي والحياة))</t>
  </si>
  <si>
    <t>الشركة</t>
  </si>
  <si>
    <t>الأقساط المباشرة</t>
  </si>
  <si>
    <t>وارد محلي</t>
  </si>
  <si>
    <t>وارد من الخارج</t>
  </si>
  <si>
    <t>(أ) إجمالي الوارد</t>
  </si>
  <si>
    <t>صادر محلي</t>
  </si>
  <si>
    <t>صادر للخارج</t>
  </si>
  <si>
    <t>(ب) إجمالي الصادر</t>
  </si>
  <si>
    <t>( أ - ب ) الصافي</t>
  </si>
  <si>
    <t>  المدينة للتأمين</t>
  </si>
  <si>
    <t>  الشركة الأمريكية للتأمين على الحياة (متلايف)</t>
  </si>
  <si>
    <t>  الشركة العمانية المتحدة للتأمين</t>
  </si>
  <si>
    <t>  الشركة الهندية الجديدة للتأمين المحدودة</t>
  </si>
  <si>
    <t>  الشركة الوطنية للتأمين على الحياة والعام</t>
  </si>
  <si>
    <t>  العمانية القطرية للتأمين</t>
  </si>
  <si>
    <t>  تكافل عمان للتأمين</t>
  </si>
  <si>
    <t>  شركة التأمين الإيرانية</t>
  </si>
  <si>
    <t>  شركة التأمين العربية السعودية ش.م.ب(م)</t>
  </si>
  <si>
    <t>  شركة التأمين العربية فالكون</t>
  </si>
  <si>
    <t>  شركة أورينت للتأمين</t>
  </si>
  <si>
    <t>  شركة سيغنا الشرق الأوسط للتأمين ش.م.ل</t>
  </si>
  <si>
    <t>  شركة ظفار للتأمين</t>
  </si>
  <si>
    <t>  شركة عمان للتأمين ("سكون للتأمين")</t>
  </si>
  <si>
    <t>  شركة مسقط للتأمين (ش.م.ع.ع)</t>
  </si>
  <si>
    <t>  ليفا للتأمين</t>
  </si>
  <si>
    <t>  مجموعة الخليج للتأمين (الخليج) ش.م.ب (م)</t>
  </si>
  <si>
    <t>جدول رقم(100) : العمولات وتكاليف الإنتاج (الهندسي)</t>
  </si>
  <si>
    <t>جدول رقم(101) : العمولات وتكاليف الإنتاج (الصحي)</t>
  </si>
  <si>
    <t>جدول رقم(102) : العمولات وتكاليف الإنتاج (الأخرى)</t>
  </si>
  <si>
    <t>جدول رقم(16) : العمولات وتكاليف الإنتاج (إجمالي التأمين على الحياة)</t>
  </si>
  <si>
    <t>جدول رقم(17) : العمولات وتكاليف الإنتاج (الحياة (أفراد))</t>
  </si>
  <si>
    <t>جدول رقم(18) : العمولات وتكاليف الإنتاج (الحياة (مجموعة))</t>
  </si>
  <si>
    <t>جدول رقم(94) : العمولات وتكاليف الإنتاج (إجمالي التأمين العام)</t>
  </si>
  <si>
    <t>جدول رقم(95) : العمولات وتكاليف الإنتاج (النقل)</t>
  </si>
  <si>
    <t>جدول رقم(96) : العمولات وتكاليف الإنتاج (الممتلكات)</t>
  </si>
  <si>
    <t>جدول رقم(97) : العمولات وتكاليف الإنتاج (المركبات الشامل)</t>
  </si>
  <si>
    <t>جدول رقم(98) : العمولات وتكاليف الإنتاج (المركبات الطرف الثالث)</t>
  </si>
  <si>
    <t>جدول رقم(99) : العمولات وتكاليف الإنتاج (المسؤولية)</t>
  </si>
  <si>
    <t>إسم مجموعة البيانات</t>
  </si>
  <si>
    <t>وصف مجموعة البيانات</t>
  </si>
  <si>
    <t>يعرض أبرز المؤشرات الإحصائية المرتبطة بقطاع التأمين في سلطنة عمان مثل أقساط التأمين والتعويضات المدفوعة وعدد وثائق التأمين المصدرة وعدد العاملين ومعدلات الاحتفاظ ومعدلات الخسائر لمختلف فروع التأمين، إضافة إلى المؤشرات المالية لشركات التأمين وأدائها التشغيلي ابتداءً من عام 2003م.</t>
  </si>
  <si>
    <t>الفئة</t>
  </si>
  <si>
    <t>قطاع التأمين</t>
  </si>
  <si>
    <t>الدورية</t>
  </si>
  <si>
    <t>سنوي</t>
  </si>
  <si>
    <t>الكلمات المفتاحية</t>
  </si>
  <si>
    <t>التأمين التقليدي، التأمين التكافلي، الأقساط المباشرة، الأقساط المكتسبة، المطالبات، التعويضات، الوثائق، معدل الاحتفاظ، معدل الخسائر، المخصصات الفنية</t>
  </si>
  <si>
    <t>تاريخ النشر</t>
  </si>
  <si>
    <t>تاريخ التعديل</t>
  </si>
  <si>
    <t>آني</t>
  </si>
  <si>
    <t>اسم نقطة التواصل</t>
  </si>
  <si>
    <t>فريق البيانات المفتوحة</t>
  </si>
  <si>
    <t>رقم التواصل</t>
  </si>
  <si>
    <t>[24823162] , [24823277]</t>
  </si>
  <si>
    <t>البريد الإلكتروني</t>
  </si>
  <si>
    <t>digital@fsa.gov.om</t>
  </si>
  <si>
    <t>صيغة الملف</t>
  </si>
  <si>
    <t>XLSX, HTML, JSON</t>
  </si>
  <si>
    <t>الفترة المرجعية للبيانات</t>
  </si>
  <si>
    <t>2003-2022</t>
  </si>
  <si>
    <t>التغطية الجغرافية للبيانات</t>
  </si>
  <si>
    <t>شركات التأمين العاملة في سلطنة عمان</t>
  </si>
  <si>
    <t>مؤشرات اجمالية</t>
  </si>
  <si>
    <t>مؤشرات إجمالية لعام 2022م: إجمالي الأقساط المباشرة: 541.326 مليون ريال عماني إجمالي الأقساط المباشرة للتأمين التكافلي: 76.256 مليون ريال عماني إجمالي التعويضات المدفوعة 317.035 مليون ريال عماني عدد الوثائق المصدرة: 2,027,527 وثيقة</t>
  </si>
  <si>
    <t>المصدر</t>
  </si>
  <si>
    <t>دائرة التحليل المالي وإدارة المخاطر</t>
  </si>
  <si>
    <t>اللغة</t>
  </si>
  <si>
    <t>الانجليزية</t>
  </si>
  <si>
    <t>العمولات وتكاليف الإنتاج</t>
  </si>
  <si>
    <t>م</t>
  </si>
  <si>
    <t>اسم المتغير</t>
  </si>
  <si>
    <t>وصف المتغير</t>
  </si>
  <si>
    <t>نوع البيانات</t>
  </si>
  <si>
    <t>مستوى الإلزامية(إجباري/ اختياري)</t>
  </si>
  <si>
    <t>اسم شركة التأمين</t>
  </si>
  <si>
    <t>نص</t>
  </si>
  <si>
    <t>إلزامي</t>
  </si>
  <si>
    <t>رقم</t>
  </si>
  <si>
    <t>إجمالي الوارد</t>
  </si>
  <si>
    <t>إجمالي الصادر</t>
  </si>
  <si>
    <t>الصافي</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</si>
</sst>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color theme="1"/>
      <name val="Arial"/>
      <family val="2"/>
      <scheme val="minor"/>
    </font>
    <font>
      <sz val="11"/>
      <color theme="1"/>
      <name val="Arial"/>
      <family val="2"/>
      <scheme val="minor"/>
    </font>
    <font>
      <sz val="18"/>
      <color theme="3"/>
      <name val="Times New Roman"/>
      <family val="2"/>
      <scheme val="major"/>
    </font>
    <font>
      <b/>
      <sz val="15"/>
      <color theme="3"/>
      <name val="Arial"/>
      <family val="2"/>
      <scheme val="minor"/>
    </font>
    <font>
      <b/>
      <sz val="13"/>
      <color theme="3"/>
      <name val="Arial"/>
      <family val="2"/>
      <scheme val="minor"/>
    </font>
    <font>
      <b/>
      <sz val="11"/>
      <color theme="3"/>
      <name val="Arial"/>
      <family val="2"/>
      <scheme val="minor"/>
    </font>
    <font>
      <sz val="11"/>
      <color rgb="FF006100"/>
      <name val="Arial"/>
      <family val="2"/>
      <scheme val="minor"/>
    </font>
    <font>
      <sz val="11"/>
      <color rgb="FF9C0006"/>
      <name val="Arial"/>
      <family val="2"/>
      <scheme val="minor"/>
    </font>
    <font>
      <sz val="11"/>
      <color rgb="FF9C6500"/>
      <name val="Arial"/>
      <family val="2"/>
      <scheme val="minor"/>
    </font>
    <font>
      <sz val="11"/>
      <color rgb="FF3F3F76"/>
      <name val="Arial"/>
      <family val="2"/>
      <scheme val="minor"/>
    </font>
    <font>
      <b/>
      <sz val="11"/>
      <color rgb="FF3F3F3F"/>
      <name val="Arial"/>
      <family val="2"/>
      <scheme val="minor"/>
    </font>
    <font>
      <b/>
      <sz val="11"/>
      <color rgb="FFFA7D00"/>
      <name val="Arial"/>
      <family val="2"/>
      <scheme val="minor"/>
    </font>
    <font>
      <sz val="11"/>
      <color rgb="FFFA7D00"/>
      <name val="Arial"/>
      <family val="2"/>
      <scheme val="minor"/>
    </font>
    <font>
      <b/>
      <sz val="11"/>
      <color theme="0"/>
      <name val="Arial"/>
      <family val="2"/>
      <scheme val="minor"/>
    </font>
    <font>
      <sz val="11"/>
      <color rgb="FFFF0000"/>
      <name val="Arial"/>
      <family val="2"/>
      <scheme val="minor"/>
    </font>
    <font>
      <i/>
      <sz val="11"/>
      <color rgb="FF7F7F7F"/>
      <name val="Arial"/>
      <family val="2"/>
      <scheme val="minor"/>
    </font>
    <font>
      <b/>
      <sz val="11"/>
      <color theme="1"/>
      <name val="Arial"/>
      <family val="2"/>
      <scheme val="minor"/>
    </font>
    <font>
      <sz val="11"/>
      <color theme="0"/>
      <name val="Arial"/>
      <family val="2"/>
      <scheme val="minor"/>
    </font>
    <font>
      <sz val="10"/>
      <color theme="1"/>
      <name val="Arial"/>
      <family val="2"/>
      <scheme val="minor"/>
    </font>
    <font>
      <sz val="10"/>
      <color rgb="FFFFFFFF"/>
      <name val="Arial"/>
      <family val="2"/>
      <scheme val="minor"/>
    </font>
    <font>
      <b/>
      <sz val="10"/>
      <color rgb="FF000000"/>
      <name val="Arial"/>
      <family val="2"/>
      <scheme val="minor"/>
    </font>
    <font>
      <b/>
      <sz val="10"/>
      <color theme="1"/>
      <name val="Arial"/>
      <family val="2"/>
      <scheme val="minor"/>
    </font>
    <font>
      <sz val="14"/>
      <color theme="0"/>
      <name val="Arial"/>
      <family val="2"/>
      <scheme val="minor"/>
    </font>
    <font>
      <sz val="11"/>
      <color rgb="FF212529"/>
      <name val="Arial"/>
      <family val="2"/>
      <scheme val="minor"/>
    </font>
    <font>
      <b/>
      <sz val="12"/>
      <color rgb="FF000000"/>
      <name val="Arial"/>
      <family val="2"/>
      <scheme val="minor"/>
    </font>
    <font>
      <sz val="12"/>
      <color rgb="FF000000"/>
      <name val="Arial"/>
      <family val="2"/>
      <scheme val="minor"/>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337AB7"/>
        <bgColor indexed="64"/>
      </patternFill>
    </fill>
    <fill>
      <patternFill patternType="solid">
        <fgColor rgb="FFD2D6DE"/>
        <bgColor indexed="64"/>
      </patternFill>
    </fill>
    <fill>
      <patternFill patternType="solid">
        <fgColor rgb="FFFFFFFF"/>
        <bgColor indexed="64"/>
      </patternFill>
    </fill>
    <fill>
      <patternFill patternType="solid">
        <fgColor rgb="FF4472C4"/>
        <bgColor rgb="FF000000"/>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rgb="FF6CA5DA"/>
      </left>
      <right style="medium">
        <color rgb="FF6CA5DA"/>
      </right>
      <top style="medium">
        <color rgb="FF6CA5DA"/>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
    <xf numFmtId="0" fontId="0" fillId="0" borderId="0" xfId="0"/>
    <xf numFmtId="0" fontId="20" fillId="34" borderId="0" xfId="0" applyFont="1" applyFill="1" applyAlignment="1">
      <alignment horizontal="center" vertical="center" wrapText="1"/>
    </xf>
    <xf numFmtId="0" fontId="21" fillId="0" borderId="0" xfId="0" applyFont="1" applyAlignment="1">
      <alignment horizontal="center" vertical="center" wrapText="1"/>
    </xf>
    <xf numFmtId="0" fontId="18" fillId="0" borderId="0" xfId="0" applyFont="1" applyAlignment="1">
      <alignment wrapText="1"/>
    </xf>
    <xf numFmtId="0" fontId="20" fillId="34" borderId="0" xfId="0" applyFont="1" applyFill="1" applyAlignment="1">
      <alignment horizontal="center" vertical="center" wrapText="1"/>
    </xf>
    <xf numFmtId="0" fontId="19" fillId="33" borderId="0" xfId="0" applyFont="1" applyFill="1" applyAlignment="1">
      <alignment horizontal="center" wrapText="1"/>
    </xf>
    <xf numFmtId="0" fontId="22" fillId="25" borderId="10" xfId="34" applyFont="1" applyBorder="1" applyAlignment="1">
      <alignment horizontal="center" vertical="center" wrapText="1"/>
    </xf>
    <xf numFmtId="0" fontId="23" fillId="35" borderId="11" xfId="0" applyFont="1" applyFill="1" applyBorder="1" applyAlignment="1">
      <alignment horizontal="right" vertical="center" wrapText="1"/>
    </xf>
    <xf numFmtId="14" fontId="23" fillId="35" borderId="11" xfId="0" applyNumberFormat="1" applyFont="1" applyFill="1" applyBorder="1" applyAlignment="1">
      <alignment horizontal="center" vertical="center" wrapText="1"/>
    </xf>
    <xf numFmtId="0" fontId="17" fillId="36" borderId="11" xfId="34" applyFill="1" applyBorder="1" applyAlignment="1">
      <alignment horizontal="center" vertical="center" wrapText="1" readingOrder="2"/>
    </xf>
    <xf numFmtId="0" fontId="24" fillId="0" borderId="12" xfId="0" applyFont="1" applyBorder="1" applyAlignment="1">
      <alignment horizontal="center" vertical="center" wrapText="1" readingOrder="2"/>
    </xf>
    <xf numFmtId="0" fontId="25" fillId="0" borderId="12" xfId="0" applyFont="1" applyBorder="1" applyAlignment="1">
      <alignment horizontal="center" vertical="center" wrapText="1" readingOrder="2"/>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rightToLeft="1" tabSelected="1" workbookViewId="0">
      <selection activeCell="C5" sqref="C5"/>
    </sheetView>
  </sheetViews>
  <sheetFormatPr defaultRowHeight="14" x14ac:dyDescent="0.3"/>
  <cols>
    <col min="1" max="1" width="40.1640625" customWidth="1"/>
    <col min="2" max="2" width="41.75" customWidth="1"/>
  </cols>
  <sheetData>
    <row r="1" spans="1:2" ht="17.5" x14ac:dyDescent="0.3">
      <c r="A1" s="6" t="s">
        <v>39</v>
      </c>
      <c r="B1" s="6" t="s">
        <v>69</v>
      </c>
    </row>
    <row r="2" spans="1:2" ht="70" x14ac:dyDescent="0.3">
      <c r="A2" s="7" t="s">
        <v>40</v>
      </c>
      <c r="B2" s="7" t="s">
        <v>41</v>
      </c>
    </row>
    <row r="3" spans="1:2" x14ac:dyDescent="0.3">
      <c r="A3" s="7" t="s">
        <v>42</v>
      </c>
      <c r="B3" s="7" t="s">
        <v>43</v>
      </c>
    </row>
    <row r="4" spans="1:2" x14ac:dyDescent="0.3">
      <c r="A4" s="7" t="s">
        <v>44</v>
      </c>
      <c r="B4" s="7" t="s">
        <v>45</v>
      </c>
    </row>
    <row r="5" spans="1:2" ht="42" x14ac:dyDescent="0.3">
      <c r="A5" s="7" t="s">
        <v>46</v>
      </c>
      <c r="B5" s="7" t="s">
        <v>47</v>
      </c>
    </row>
    <row r="6" spans="1:2" x14ac:dyDescent="0.3">
      <c r="A6" s="7" t="s">
        <v>48</v>
      </c>
      <c r="B6" s="8">
        <v>44568</v>
      </c>
    </row>
    <row r="7" spans="1:2" x14ac:dyDescent="0.3">
      <c r="A7" s="7" t="s">
        <v>49</v>
      </c>
      <c r="B7" s="7" t="s">
        <v>50</v>
      </c>
    </row>
    <row r="8" spans="1:2" x14ac:dyDescent="0.3">
      <c r="A8" s="7" t="s">
        <v>51</v>
      </c>
      <c r="B8" s="7" t="s">
        <v>52</v>
      </c>
    </row>
    <row r="9" spans="1:2" x14ac:dyDescent="0.3">
      <c r="A9" s="7" t="s">
        <v>53</v>
      </c>
      <c r="B9" s="7" t="s">
        <v>54</v>
      </c>
    </row>
    <row r="10" spans="1:2" x14ac:dyDescent="0.3">
      <c r="A10" s="7" t="s">
        <v>55</v>
      </c>
      <c r="B10" s="7" t="s">
        <v>56</v>
      </c>
    </row>
    <row r="11" spans="1:2" x14ac:dyDescent="0.3">
      <c r="A11" s="7" t="s">
        <v>57</v>
      </c>
      <c r="B11" s="7" t="s">
        <v>58</v>
      </c>
    </row>
    <row r="12" spans="1:2" x14ac:dyDescent="0.3">
      <c r="A12" s="7" t="s">
        <v>59</v>
      </c>
      <c r="B12" s="7" t="s">
        <v>60</v>
      </c>
    </row>
    <row r="13" spans="1:2" x14ac:dyDescent="0.3">
      <c r="A13" s="7" t="s">
        <v>61</v>
      </c>
      <c r="B13" s="7" t="s">
        <v>62</v>
      </c>
    </row>
    <row r="14" spans="1:2" ht="70" x14ac:dyDescent="0.3">
      <c r="A14" s="7" t="s">
        <v>63</v>
      </c>
      <c r="B14" s="7" t="s">
        <v>64</v>
      </c>
    </row>
    <row r="15" spans="1:2" x14ac:dyDescent="0.3">
      <c r="A15" s="7" t="s">
        <v>65</v>
      </c>
      <c r="B15" s="7" t="s">
        <v>66</v>
      </c>
    </row>
    <row r="16" spans="1:2" x14ac:dyDescent="0.3">
      <c r="A16" s="7" t="s">
        <v>67</v>
      </c>
      <c r="B16" s="7" t="s">
        <v>68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rightToLeft="1" workbookViewId="0">
      <selection activeCell="A19" sqref="A19"/>
    </sheetView>
  </sheetViews>
  <sheetFormatPr defaultRowHeight="14" x14ac:dyDescent="0.3"/>
  <cols>
    <col min="1" max="3" width="20.58203125" customWidth="1"/>
    <col min="4" max="4" width="22.4140625" customWidth="1"/>
    <col min="5" max="5" width="25.5" customWidth="1"/>
  </cols>
  <sheetData>
    <row r="1" spans="1:5" x14ac:dyDescent="0.3">
      <c r="A1" s="9" t="s">
        <v>70</v>
      </c>
      <c r="B1" s="9" t="s">
        <v>71</v>
      </c>
      <c r="C1" s="9" t="s">
        <v>72</v>
      </c>
      <c r="D1" s="9" t="s">
        <v>73</v>
      </c>
      <c r="E1" s="9" t="s">
        <v>74</v>
      </c>
    </row>
    <row r="2" spans="1:5" ht="15.5" x14ac:dyDescent="0.3">
      <c r="A2" s="10">
        <v>1</v>
      </c>
      <c r="B2" s="11" t="s">
        <v>1</v>
      </c>
      <c r="C2" s="11" t="s">
        <v>75</v>
      </c>
      <c r="D2" s="11" t="s">
        <v>76</v>
      </c>
      <c r="E2" s="11" t="s">
        <v>77</v>
      </c>
    </row>
    <row r="3" spans="1:5" ht="15.5" x14ac:dyDescent="0.3">
      <c r="A3" s="10">
        <v>2</v>
      </c>
      <c r="B3" s="11" t="s">
        <v>2</v>
      </c>
      <c r="C3" s="11" t="s">
        <v>2</v>
      </c>
      <c r="D3" s="11" t="s">
        <v>78</v>
      </c>
      <c r="E3" s="11" t="s">
        <v>77</v>
      </c>
    </row>
    <row r="4" spans="1:5" ht="15.5" x14ac:dyDescent="0.3">
      <c r="A4" s="10">
        <v>3</v>
      </c>
      <c r="B4" s="11" t="s">
        <v>3</v>
      </c>
      <c r="C4" s="11" t="s">
        <v>3</v>
      </c>
      <c r="D4" s="11" t="s">
        <v>78</v>
      </c>
      <c r="E4" s="11" t="s">
        <v>77</v>
      </c>
    </row>
    <row r="5" spans="1:5" ht="15.5" x14ac:dyDescent="0.3">
      <c r="A5" s="10">
        <v>4</v>
      </c>
      <c r="B5" s="11" t="s">
        <v>4</v>
      </c>
      <c r="C5" s="11" t="s">
        <v>4</v>
      </c>
      <c r="D5" s="11" t="s">
        <v>78</v>
      </c>
      <c r="E5" s="11" t="s">
        <v>77</v>
      </c>
    </row>
    <row r="6" spans="1:5" ht="15.5" x14ac:dyDescent="0.3">
      <c r="A6" s="10">
        <v>5</v>
      </c>
      <c r="B6" s="11" t="s">
        <v>79</v>
      </c>
      <c r="C6" s="11" t="s">
        <v>79</v>
      </c>
      <c r="D6" s="11" t="s">
        <v>78</v>
      </c>
      <c r="E6" s="11" t="s">
        <v>77</v>
      </c>
    </row>
    <row r="7" spans="1:5" ht="15.5" x14ac:dyDescent="0.3">
      <c r="A7" s="10">
        <v>6</v>
      </c>
      <c r="B7" s="11" t="s">
        <v>6</v>
      </c>
      <c r="C7" s="11" t="s">
        <v>6</v>
      </c>
      <c r="D7" s="11" t="s">
        <v>78</v>
      </c>
      <c r="E7" s="11" t="s">
        <v>77</v>
      </c>
    </row>
    <row r="8" spans="1:5" ht="15.5" x14ac:dyDescent="0.3">
      <c r="A8" s="10">
        <v>7</v>
      </c>
      <c r="B8" s="11" t="s">
        <v>7</v>
      </c>
      <c r="C8" s="11" t="s">
        <v>7</v>
      </c>
      <c r="D8" s="11" t="s">
        <v>78</v>
      </c>
      <c r="E8" s="11" t="s">
        <v>77</v>
      </c>
    </row>
    <row r="9" spans="1:5" ht="15.5" x14ac:dyDescent="0.3">
      <c r="A9" s="10">
        <v>8</v>
      </c>
      <c r="B9" s="11" t="s">
        <v>80</v>
      </c>
      <c r="C9" s="11" t="s">
        <v>80</v>
      </c>
      <c r="D9" s="11" t="s">
        <v>78</v>
      </c>
      <c r="E9" s="11" t="s">
        <v>77</v>
      </c>
    </row>
    <row r="10" spans="1:5" ht="15.5" x14ac:dyDescent="0.3">
      <c r="A10" s="10">
        <v>9</v>
      </c>
      <c r="B10" s="11" t="s">
        <v>81</v>
      </c>
      <c r="C10" s="11" t="s">
        <v>81</v>
      </c>
      <c r="D10" s="11" t="s">
        <v>78</v>
      </c>
      <c r="E10" s="11" t="s">
        <v>77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0"/>
  <sheetViews>
    <sheetView rightToLeft="1" workbookViewId="0">
      <selection activeCell="I2" sqref="I2"/>
    </sheetView>
  </sheetViews>
  <sheetFormatPr defaultRowHeight="12.75" x14ac:dyDescent="0.3"/>
  <cols>
    <col min="1" max="1" width="26.75" bestFit="1" customWidth="1"/>
    <col min="2" max="2" width="9.75" bestFit="1" customWidth="1"/>
    <col min="3" max="3" width="6.58203125" bestFit="1" customWidth="1"/>
    <col min="4" max="4" width="9.5" bestFit="1" customWidth="1"/>
    <col min="5" max="5" width="10.08203125" bestFit="1" customWidth="1"/>
    <col min="6" max="6" width="7.1640625" bestFit="1" customWidth="1"/>
    <col min="7" max="7" width="8.08203125" bestFit="1" customWidth="1"/>
    <col min="8" max="8" width="11.4140625" bestFit="1" customWidth="1"/>
    <col min="9" max="9" width="10.33203125" bestFit="1" customWidth="1"/>
  </cols>
  <sheetData>
    <row r="1" spans="1:9" ht="12.5" customHeight="1" x14ac:dyDescent="0.3">
      <c r="A1" s="5" t="s">
        <v>0</v>
      </c>
      <c r="B1" s="5"/>
      <c r="C1" s="5"/>
      <c r="D1" s="5"/>
      <c r="E1" s="5"/>
      <c r="F1" s="5"/>
      <c r="G1" s="5"/>
      <c r="H1" s="5"/>
      <c r="I1" s="5"/>
    </row>
    <row r="2" spans="1:9" ht="14" x14ac:dyDescent="0.3">
      <c r="A2" s="4" t="s">
        <v>1</v>
      </c>
      <c r="B2" s="1" t="s">
        <v>2</v>
      </c>
      <c r="C2" s="1" t="s">
        <v>3</v>
      </c>
      <c r="D2" s="1" t="s">
        <v>4</v>
      </c>
      <c r="E2" s="1" t="s">
        <v>5</v>
      </c>
      <c r="F2" s="1" t="s">
        <v>6</v>
      </c>
      <c r="G2" s="1" t="s">
        <v>7</v>
      </c>
      <c r="H2" s="1" t="s">
        <v>8</v>
      </c>
      <c r="I2" s="1" t="s">
        <v>9</v>
      </c>
    </row>
    <row r="3" spans="1:9" ht="14" x14ac:dyDescent="0.3">
      <c r="A3" s="4"/>
      <c r="B3" s="1">
        <v>2023</v>
      </c>
      <c r="C3" s="1">
        <v>2023</v>
      </c>
      <c r="D3" s="1">
        <v>2023</v>
      </c>
      <c r="E3" s="1">
        <v>2023</v>
      </c>
      <c r="F3" s="1">
        <v>2023</v>
      </c>
      <c r="G3" s="1">
        <v>2023</v>
      </c>
      <c r="H3" s="1">
        <v>2023</v>
      </c>
      <c r="I3" s="1">
        <v>2023</v>
      </c>
    </row>
    <row r="4" spans="1:9" ht="14" x14ac:dyDescent="0.3">
      <c r="A4" s="2" t="s">
        <v>10</v>
      </c>
      <c r="B4" s="3">
        <f>((358+29129+(224640+262342)+561+14999+48920)+(0+575)+10400)</f>
        <v>591924</v>
      </c>
      <c r="C4" s="3">
        <f>((0+0+(0+0)+0+0+0)+(0+0)+0)</f>
        <v>0</v>
      </c>
      <c r="D4" s="3">
        <f>((0+0+(0+0)+0+0+0)+(0+0)+0)</f>
        <v>0</v>
      </c>
      <c r="E4" s="3">
        <f>(((358+29129+(224640+262342)+561+14999+48920)+(0+575)+10400)+((0+0+(0+0)+0+0+0)+(0+0)+0)+((0+0+(0+0)+0+0+0)+(0+0)+0))</f>
        <v>591924</v>
      </c>
      <c r="F4" s="3">
        <f>((0+0+(0+0)+0+0+0)+(0+0)+0)</f>
        <v>0</v>
      </c>
      <c r="G4" s="3">
        <f>((20604+245822+(138067+161239)+30231+69940+32147)+(77+702)+141014)</f>
        <v>839843</v>
      </c>
      <c r="H4" s="3">
        <f>(((0+0+(0+0)+0+0+0)+(0+0)+0)+((20604+245822+(138067+161239)+30231+69940+32147)+(77+702)+141014))</f>
        <v>839843</v>
      </c>
      <c r="I4" s="3">
        <f>((((358+29129+(224640+262342)+561+14999+48920)+(0+575)+10400)+((0+0+(0+0)+0+0+0)+(0+0)+0)+((0+0+(0+0)+0+0+0)+(0+0)+0))-(((0+0+(0+0)+0+0+0)+(0+0)+0)+((20604+245822+(138067+161239)+30231+69940+32147)+(77+702)+141014)))</f>
        <v>-247919</v>
      </c>
    </row>
    <row r="5" spans="1:9" ht="14" x14ac:dyDescent="0.3">
      <c r="A5" s="2" t="s">
        <v>11</v>
      </c>
      <c r="B5" s="3">
        <f>((0+0+(0+0)+0+0+1203605)+(299733+152831)+194208)</f>
        <v>1850377</v>
      </c>
      <c r="C5" s="3">
        <f>((0+0+(0+0)+0+0+0)+(0+0)+0)</f>
        <v>0</v>
      </c>
      <c r="D5" s="3">
        <f>((0+0+(0+0)+0+0+0)+(0+0)+0)</f>
        <v>0</v>
      </c>
      <c r="E5" s="3">
        <f>(((0+0+(0+0)+0+0+1203605)+(299733+152831)+194208)+((0+0+(0+0)+0+0+0)+(0+0)+0)+((0+0+(0+0)+0+0+0)+(0+0)+0))</f>
        <v>1850377</v>
      </c>
      <c r="F5" s="3">
        <f>((0+0+(0+0)+0+0+0)+(0+0)+0)</f>
        <v>0</v>
      </c>
      <c r="G5" s="3">
        <f>((0+0+(0+0)+0+0+3680)+(1238+24852)+371063)</f>
        <v>400833</v>
      </c>
      <c r="H5" s="3">
        <f>(((0+0+(0+0)+0+0+0)+(0+0)+0)+((0+0+(0+0)+0+0+3680)+(1238+24852)+371063))</f>
        <v>400833</v>
      </c>
      <c r="I5" s="3">
        <f>((((0+0+(0+0)+0+0+1203605)+(299733+152831)+194208)+((0+0+(0+0)+0+0+0)+(0+0)+0)+((0+0+(0+0)+0+0+0)+(0+0)+0))-(((0+0+(0+0)+0+0+0)+(0+0)+0)+((0+0+(0+0)+0+0+3680)+(1238+24852)+371063)))</f>
        <v>1449544</v>
      </c>
    </row>
    <row r="6" spans="1:9" ht="14" x14ac:dyDescent="0.3">
      <c r="A6" s="2" t="s">
        <v>12</v>
      </c>
      <c r="B6" s="3">
        <f>((249289+726394+(412916+481647)+76715+131606+120430)+(8343+80569)+276193)</f>
        <v>2564102</v>
      </c>
      <c r="C6" s="3">
        <f>((1479+24516+(0+0)+0+5380+0)+(0+0)+0)</f>
        <v>31375</v>
      </c>
      <c r="D6" s="3">
        <f>((0+0+(0+0)+0+0+0)+(0+0)+0)</f>
        <v>0</v>
      </c>
      <c r="E6" s="3">
        <f>(((249289+726394+(412916+481647)+76715+131606+120430)+(8343+80569)+276193)+((1479+24516+(0+0)+0+5380+0)+(0+0)+0)+((0+0+(0+0)+0+0+0)+(0+0)+0))</f>
        <v>2595477</v>
      </c>
      <c r="F6" s="3">
        <f>((46350+308985+((-918)+0)+0+34516+0)+(0+0)+0)</f>
        <v>388933</v>
      </c>
      <c r="G6" s="3">
        <f>((613975+1005785+(6584+5133)+127491+334024+497012)+(10042+244266)+64692)</f>
        <v>2909004</v>
      </c>
      <c r="H6" s="3">
        <f>(((46350+308985+((-918)+0)+0+34516+0)+(0+0)+0)+((613975+1005785+(6584+5133)+127491+334024+497012)+(10042+244266)+64692))</f>
        <v>3297937</v>
      </c>
      <c r="I6" s="3">
        <f>((((249289+726394+(412916+481647)+76715+131606+120430)+(8343+80569)+276193)+((1479+24516+(0+0)+0+5380+0)+(0+0)+0)+((0+0+(0+0)+0+0+0)+(0+0)+0))-(((46350+308985+((-918)+0)+0+34516+0)+(0+0)+0)+((613975+1005785+(6584+5133)+127491+334024+497012)+(10042+244266)+64692)))</f>
        <v>-702460</v>
      </c>
    </row>
    <row r="7" spans="1:9" ht="14" x14ac:dyDescent="0.3">
      <c r="A7" s="2" t="s">
        <v>13</v>
      </c>
      <c r="B7" s="3">
        <f>((76954+778828+(715857+748427)+114176+248340+135188)+(0+0)+523802)</f>
        <v>3341572</v>
      </c>
      <c r="C7" s="3">
        <f>((24631+273519+(0+0)+0+33350+0)+(0+0)+94890)</f>
        <v>426390</v>
      </c>
      <c r="D7" s="3">
        <f>((0+0+(0+0)+0+0+0)+(0+0)+0)</f>
        <v>0</v>
      </c>
      <c r="E7" s="3">
        <f>(((76954+778828+(715857+748427)+114176+248340+135188)+(0+0)+523802)+((24631+273519+(0+0)+0+33350+0)+(0+0)+94890)+((0+0+(0+0)+0+0+0)+(0+0)+0))</f>
        <v>3767962</v>
      </c>
      <c r="F7" s="3">
        <f>((14+61281+(0+0)+6+4943+15)+(0+0)+0)</f>
        <v>66259</v>
      </c>
      <c r="G7" s="3">
        <f>((0+83124+(0+0)+14067+19857+11157)+(0+0)+0)</f>
        <v>128205</v>
      </c>
      <c r="H7" s="3">
        <f>(((14+61281+(0+0)+6+4943+15)+(0+0)+0)+((0+83124+(0+0)+14067+19857+11157)+(0+0)+0))</f>
        <v>194464</v>
      </c>
      <c r="I7" s="3">
        <f>((((76954+778828+(715857+748427)+114176+248340+135188)+(0+0)+523802)+((24631+273519+(0+0)+0+33350+0)+(0+0)+94890)+((0+0+(0+0)+0+0+0)+(0+0)+0))-(((14+61281+(0+0)+6+4943+15)+(0+0)+0)+((0+83124+(0+0)+14067+19857+11157)+(0+0)+0)))</f>
        <v>3573498</v>
      </c>
    </row>
    <row r="8" spans="1:9" ht="14" x14ac:dyDescent="0.3">
      <c r="A8" s="2" t="s">
        <v>14</v>
      </c>
      <c r="B8" s="3">
        <f>((871+2712+(328220+127424)+15417+55198+14133)+(166510+442852)+12128995)</f>
        <v>13282332</v>
      </c>
      <c r="C8" s="3">
        <f>((0+0+(0+0)+0+0+0)+(0+0)+0)</f>
        <v>0</v>
      </c>
      <c r="D8" s="3">
        <f>((0+0+(0+0)+0+0+0)+(0+0)+0)</f>
        <v>0</v>
      </c>
      <c r="E8" s="3">
        <f>(((871+2712+(328220+127424)+15417+55198+14133)+(166510+442852)+12128995)+((0+0+(0+0)+0+0+0)+(0+0)+0)+((0+0+(0+0)+0+0+0)+(0+0)+0))</f>
        <v>13282332</v>
      </c>
      <c r="F8" s="3">
        <f>((793+17626+(0+0)+0+49786+2510)+(0+0)+0)</f>
        <v>70715</v>
      </c>
      <c r="G8" s="3">
        <f>((868+18534+(0+0)+3427+40125+1977)+(13424+62667)+4052990)</f>
        <v>4194012</v>
      </c>
      <c r="H8" s="3">
        <f>(((793+17626+(0+0)+0+49786+2510)+(0+0)+0)+((868+18534+(0+0)+3427+40125+1977)+(13424+62667)+4052990))</f>
        <v>4264727</v>
      </c>
      <c r="I8" s="3">
        <f>((((871+2712+(328220+127424)+15417+55198+14133)+(166510+442852)+12128995)+((0+0+(0+0)+0+0+0)+(0+0)+0)+((0+0+(0+0)+0+0+0)+(0+0)+0))-(((793+17626+(0+0)+0+49786+2510)+(0+0)+0)+((868+18534+(0+0)+3427+40125+1977)+(13424+62667)+4052990)))</f>
        <v>9017605</v>
      </c>
    </row>
    <row r="9" spans="1:9" ht="14" x14ac:dyDescent="0.3">
      <c r="A9" s="2" t="s">
        <v>15</v>
      </c>
      <c r="B9" s="3">
        <f>((51912+26568+(208877+181687)+214451+101454+202165)+(0+48096)+582783)</f>
        <v>1617993</v>
      </c>
      <c r="C9" s="3">
        <f>((0+2093+(0+0)+0+0+0)+(0+0)+0)</f>
        <v>2093</v>
      </c>
      <c r="D9" s="3">
        <f>((804+55+(0+0)+0+0+0)+(0+0)+0)</f>
        <v>859</v>
      </c>
      <c r="E9" s="3">
        <f>(((51912+26568+(208877+181687)+214451+101454+202165)+(0+48096)+582783)+((0+2093+(0+0)+0+0+0)+(0+0)+0)+((804+55+(0+0)+0+0+0)+(0+0)+0))</f>
        <v>1620945</v>
      </c>
      <c r="F9" s="3">
        <f>((17702+34398+(0+0)+85+0+0)+(0+0)+0)</f>
        <v>52185</v>
      </c>
      <c r="G9" s="3">
        <f>((90847+541801+(6941+6037)+334051+285396+38302)+(0+77945)+1527)</f>
        <v>1382847</v>
      </c>
      <c r="H9" s="3">
        <f>(((17702+34398+(0+0)+85+0+0)+(0+0)+0)+((90847+541801+(6941+6037)+334051+285396+38302)+(0+77945)+1527))</f>
        <v>1435032</v>
      </c>
      <c r="I9" s="3">
        <f>((((51912+26568+(208877+181687)+214451+101454+202165)+(0+48096)+582783)+((0+2093+(0+0)+0+0+0)+(0+0)+0)+((804+55+(0+0)+0+0+0)+(0+0)+0))-(((17702+34398+(0+0)+85+0+0)+(0+0)+0)+((90847+541801+(6941+6037)+334051+285396+38302)+(0+77945)+1527)))</f>
        <v>185913</v>
      </c>
    </row>
    <row r="10" spans="1:9" ht="14" x14ac:dyDescent="0.3">
      <c r="A10" s="2" t="s">
        <v>16</v>
      </c>
      <c r="B10" s="3">
        <f>((104+264295+(899+0)+22366+73548+10611)+(8455+68405)+0)</f>
        <v>448683</v>
      </c>
      <c r="C10" s="3">
        <f>((0+0+(0+0)+0+0+0)+(0+0)+0)</f>
        <v>0</v>
      </c>
      <c r="D10" s="3">
        <f>((0+0+(0+0)+0+0+0)+(0+0)+0)</f>
        <v>0</v>
      </c>
      <c r="E10" s="3">
        <f>(((104+264295+(899+0)+22366+73548+10611)+(8455+68405)+0)+((0+0+(0+0)+0+0+0)+(0+0)+0)+((0+0+(0+0)+0+0+0)+(0+0)+0))</f>
        <v>448683</v>
      </c>
      <c r="F10" s="3">
        <f>((0+0+(0+0)+0+0+0)+(0+0)+0)</f>
        <v>0</v>
      </c>
      <c r="G10" s="3">
        <f>((0+0+(0+0)+0+0+0)+(0+0)+0)</f>
        <v>0</v>
      </c>
      <c r="H10" s="3">
        <f>(((0+0+(0+0)+0+0+0)+(0+0)+0)+((0+0+(0+0)+0+0+0)+(0+0)+0))</f>
        <v>0</v>
      </c>
      <c r="I10" s="3">
        <f>((((104+264295+(899+0)+22366+73548+10611)+(8455+68405)+0)+((0+0+(0+0)+0+0+0)+(0+0)+0)+((0+0+(0+0)+0+0+0)+(0+0)+0))-(((0+0+(0+0)+0+0+0)+(0+0)+0)+((0+0+(0+0)+0+0+0)+(0+0)+0)))</f>
        <v>448683</v>
      </c>
    </row>
    <row r="11" spans="1:9" ht="14" x14ac:dyDescent="0.3">
      <c r="A11" s="2" t="s">
        <v>17</v>
      </c>
      <c r="B11" s="3">
        <f>((0+6449+(43150+149092)+226+333+59)+(0+0)+0)</f>
        <v>199309</v>
      </c>
      <c r="C11" s="3">
        <f>((0+62566+(0+0)+0+2452+0)+(0+0)+0)</f>
        <v>65018</v>
      </c>
      <c r="D11" s="3">
        <f t="shared" ref="D11:D20" si="0">((0+0+(0+0)+0+0+0)+(0+0)+0)</f>
        <v>0</v>
      </c>
      <c r="E11" s="3">
        <f>(((0+6449+(43150+149092)+226+333+59)+(0+0)+0)+((0+62566+(0+0)+0+2452+0)+(0+0)+0)+((0+0+(0+0)+0+0+0)+(0+0)+0))</f>
        <v>264327</v>
      </c>
      <c r="F11" s="3">
        <f>((0+0+(0+0)+0+0+0)+(0+0)+0)</f>
        <v>0</v>
      </c>
      <c r="G11" s="3">
        <f>((0+0+(0+0)+0+0+0)+(0+0)+0)</f>
        <v>0</v>
      </c>
      <c r="H11" s="3">
        <f>(((0+0+(0+0)+0+0+0)+(0+0)+0)+((0+0+(0+0)+0+0+0)+(0+0)+0))</f>
        <v>0</v>
      </c>
      <c r="I11" s="3">
        <f>((((0+6449+(43150+149092)+226+333+59)+(0+0)+0)+((0+62566+(0+0)+0+2452+0)+(0+0)+0)+((0+0+(0+0)+0+0+0)+(0+0)+0))-(((0+0+(0+0)+0+0+0)+(0+0)+0)+((0+0+(0+0)+0+0+0)+(0+0)+0)))</f>
        <v>264327</v>
      </c>
    </row>
    <row r="12" spans="1:9" ht="14" x14ac:dyDescent="0.3">
      <c r="A12" s="2" t="s">
        <v>18</v>
      </c>
      <c r="B12" s="3">
        <f>((1287+49619+(26537+2586)+5866+4208+1356)+(0+0)+64372)</f>
        <v>155831</v>
      </c>
      <c r="C12" s="3">
        <f>((0+16815+(0+0)+0+7203+0)+(0+0)+0)</f>
        <v>24018</v>
      </c>
      <c r="D12" s="3">
        <f t="shared" si="0"/>
        <v>0</v>
      </c>
      <c r="E12" s="3">
        <f>(((1287+49619+(26537+2586)+5866+4208+1356)+(0+0)+64372)+((0+16815+(0+0)+0+7203+0)+(0+0)+0)+((0+0+(0+0)+0+0+0)+(0+0)+0))</f>
        <v>179849</v>
      </c>
      <c r="F12" s="3">
        <f>((0+10034+(0+0)+0+2157+0)+(0+0)+0)</f>
        <v>12191</v>
      </c>
      <c r="G12" s="3">
        <f>((4300+91547+(0+0)+896+14228+3204)+(0+0)+45)</f>
        <v>114220</v>
      </c>
      <c r="H12" s="3">
        <f>(((0+10034+(0+0)+0+2157+0)+(0+0)+0)+((4300+91547+(0+0)+896+14228+3204)+(0+0)+45))</f>
        <v>126411</v>
      </c>
      <c r="I12" s="3">
        <f>((((1287+49619+(26537+2586)+5866+4208+1356)+(0+0)+64372)+((0+16815+(0+0)+0+7203+0)+(0+0)+0)+((0+0+(0+0)+0+0+0)+(0+0)+0))-(((0+10034+(0+0)+0+2157+0)+(0+0)+0)+((4300+91547+(0+0)+896+14228+3204)+(0+0)+45)))</f>
        <v>53438</v>
      </c>
    </row>
    <row r="13" spans="1:9" ht="14" x14ac:dyDescent="0.3">
      <c r="A13" s="2" t="s">
        <v>19</v>
      </c>
      <c r="B13" s="3">
        <f>((38255+364153+(238570+195193)+61480+127932+25516)+(2149657+23706)+81034)</f>
        <v>3305496</v>
      </c>
      <c r="C13" s="3">
        <f>((0+0+(0+0)+0+0+0)+(0+0)+0)</f>
        <v>0</v>
      </c>
      <c r="D13" s="3">
        <f t="shared" si="0"/>
        <v>0</v>
      </c>
      <c r="E13" s="3">
        <f>(((38255+364153+(238570+195193)+61480+127932+25516)+(2149657+23706)+81034)+((0+0+(0+0)+0+0+0)+(0+0)+0)+((0+0+(0+0)+0+0+0)+(0+0)+0))</f>
        <v>3305496</v>
      </c>
      <c r="F13" s="3">
        <f>((0+0+(0+0)+0+0+0)+(0+0)+0)</f>
        <v>0</v>
      </c>
      <c r="G13" s="3">
        <f>((95245+490927+(6670+5457)+112202+184507+32498)+(1782018+8140)+43167)</f>
        <v>2760831</v>
      </c>
      <c r="H13" s="3">
        <f>(((0+0+(0+0)+0+0+0)+(0+0)+0)+((95245+490927+(6670+5457)+112202+184507+32498)+(1782018+8140)+43167))</f>
        <v>2760831</v>
      </c>
      <c r="I13" s="3">
        <f>((((38255+364153+(238570+195193)+61480+127932+25516)+(2149657+23706)+81034)+((0+0+(0+0)+0+0+0)+(0+0)+0)+((0+0+(0+0)+0+0+0)+(0+0)+0))-(((0+0+(0+0)+0+0+0)+(0+0)+0)+((95245+490927+(6670+5457)+112202+184507+32498)+(1782018+8140)+43167)))</f>
        <v>544665</v>
      </c>
    </row>
    <row r="14" spans="1:9" ht="14" x14ac:dyDescent="0.3">
      <c r="A14" s="2" t="s">
        <v>20</v>
      </c>
      <c r="B14" s="3">
        <f>((12242+70956+(18714+352)+40272+21214+7072)+(72339+3219)+11709)</f>
        <v>258089</v>
      </c>
      <c r="C14" s="3">
        <f>((2201+16299+(0+0)+0+1064+0)+(0+0)+0)</f>
        <v>19564</v>
      </c>
      <c r="D14" s="3">
        <f t="shared" si="0"/>
        <v>0</v>
      </c>
      <c r="E14" s="3">
        <f>(((12242+70956+(18714+352)+40272+21214+7072)+(72339+3219)+11709)+((2201+16299+(0+0)+0+1064+0)+(0+0)+0)+((0+0+(0+0)+0+0+0)+(0+0)+0))</f>
        <v>277653</v>
      </c>
      <c r="F14" s="3">
        <f>((2167+36886+(0+0)+0+2653+0)+(0+0)+0)</f>
        <v>41706</v>
      </c>
      <c r="G14" s="3">
        <f>((21493+85056+(9167+0)+20343+34612+6245)+(0+0)+100812)</f>
        <v>277728</v>
      </c>
      <c r="H14" s="3">
        <f>(((2167+36886+(0+0)+0+2653+0)+(0+0)+0)+((21493+85056+(9167+0)+20343+34612+6245)+(0+0)+100812))</f>
        <v>319434</v>
      </c>
      <c r="I14" s="3">
        <f>((((12242+70956+(18714+352)+40272+21214+7072)+(72339+3219)+11709)+((2201+16299+(0+0)+0+1064+0)+(0+0)+0)+((0+0+(0+0)+0+0+0)+(0+0)+0))-(((2167+36886+(0+0)+0+2653+0)+(0+0)+0)+((21493+85056+(9167+0)+20343+34612+6245)+(0+0)+100812)))</f>
        <v>-41781</v>
      </c>
    </row>
    <row r="15" spans="1:9" ht="14" x14ac:dyDescent="0.3">
      <c r="A15" s="2" t="s">
        <v>21</v>
      </c>
      <c r="B15" s="3">
        <f>((0+0+(0+0)+0+0+0)+(0+0)+102443)</f>
        <v>102443</v>
      </c>
      <c r="C15" s="3">
        <f>((0+0+(0+0)+0+0+0)+(0+0)+0)</f>
        <v>0</v>
      </c>
      <c r="D15" s="3">
        <f t="shared" si="0"/>
        <v>0</v>
      </c>
      <c r="E15" s="3">
        <f>(((0+0+(0+0)+0+0+0)+(0+0)+102443)+((0+0+(0+0)+0+0+0)+(0+0)+0)+((0+0+(0+0)+0+0+0)+(0+0)+0))</f>
        <v>102443</v>
      </c>
      <c r="F15" s="3">
        <f>((0+0+(0+0)+0+0+0)+(0+0)+0)</f>
        <v>0</v>
      </c>
      <c r="G15" s="3">
        <f>((0+0+(0+0)+0+0+0)+(0+0)+1965)</f>
        <v>1965</v>
      </c>
      <c r="H15" s="3">
        <f>(((0+0+(0+0)+0+0+0)+(0+0)+0)+((0+0+(0+0)+0+0+0)+(0+0)+1965))</f>
        <v>1965</v>
      </c>
      <c r="I15" s="3">
        <f>((((0+0+(0+0)+0+0+0)+(0+0)+102443)+((0+0+(0+0)+0+0+0)+(0+0)+0)+((0+0+(0+0)+0+0+0)+(0+0)+0))-(((0+0+(0+0)+0+0+0)+(0+0)+0)+((0+0+(0+0)+0+0+0)+(0+0)+1965)))</f>
        <v>100478</v>
      </c>
    </row>
    <row r="16" spans="1:9" ht="14" x14ac:dyDescent="0.3">
      <c r="A16" s="2" t="s">
        <v>22</v>
      </c>
      <c r="B16" s="3">
        <f>((338327+364498+(202391+185959)+36699+80925+64731)+(653758+1096743)+286348)</f>
        <v>3310379</v>
      </c>
      <c r="C16" s="3">
        <f>((0+11562+(0+0)+0+16420+0)+(0+0)+0)</f>
        <v>27982</v>
      </c>
      <c r="D16" s="3">
        <f t="shared" si="0"/>
        <v>0</v>
      </c>
      <c r="E16" s="3">
        <f>(((338327+364498+(202391+185959)+36699+80925+64731)+(653758+1096743)+286348)+((0+11562+(0+0)+0+16420+0)+(0+0)+0)+((0+0+(0+0)+0+0+0)+(0+0)+0))</f>
        <v>3338361</v>
      </c>
      <c r="F16" s="3">
        <f>((1062+168091+(0+0)+600+7241+16380)+(0+0)+0)</f>
        <v>193374</v>
      </c>
      <c r="G16" s="3">
        <f>((260853+1521381+(0+0)+40385+117292+368861)+(739097+1239908)+0)</f>
        <v>4287777</v>
      </c>
      <c r="H16" s="3">
        <f>(((1062+168091+(0+0)+600+7241+16380)+(0+0)+0)+((260853+1521381+(0+0)+40385+117292+368861)+(739097+1239908)+0))</f>
        <v>4481151</v>
      </c>
      <c r="I16" s="3">
        <f>((((338327+364498+(202391+185959)+36699+80925+64731)+(653758+1096743)+286348)+((0+11562+(0+0)+0+16420+0)+(0+0)+0)+((0+0+(0+0)+0+0+0)+(0+0)+0))-(((1062+168091+(0+0)+600+7241+16380)+(0+0)+0)+((260853+1521381+(0+0)+40385+117292+368861)+(739097+1239908)+0)))</f>
        <v>-1142790</v>
      </c>
    </row>
    <row r="17" spans="1:9" ht="14" x14ac:dyDescent="0.3">
      <c r="A17" s="2" t="s">
        <v>23</v>
      </c>
      <c r="B17" s="3">
        <f>((14986+230127+(26403+0)+28060+44158+9517)+(0+20463)+118015)</f>
        <v>491729</v>
      </c>
      <c r="C17" s="3">
        <f>((0+5729+(0+0)+0+29686+0)+(0+0)+0)</f>
        <v>35415</v>
      </c>
      <c r="D17" s="3">
        <f t="shared" si="0"/>
        <v>0</v>
      </c>
      <c r="E17" s="3">
        <f>(((14986+230127+(26403+0)+28060+44158+9517)+(0+20463)+118015)+((0+5729+(0+0)+0+29686+0)+(0+0)+0)+((0+0+(0+0)+0+0+0)+(0+0)+0))</f>
        <v>527144</v>
      </c>
      <c r="F17" s="3">
        <f>((0+0+(0+0)+0+0+0)+(0+0)+0)</f>
        <v>0</v>
      </c>
      <c r="G17" s="3">
        <f>((39379+660396+(26009+0)+102160+98210+41228)+(0+1590)+20480)</f>
        <v>989452</v>
      </c>
      <c r="H17" s="3">
        <f>(((0+0+(0+0)+0+0+0)+(0+0)+0)+((39379+660396+(26009+0)+102160+98210+41228)+(0+1590)+20480))</f>
        <v>989452</v>
      </c>
      <c r="I17" s="3">
        <f>((((14986+230127+(26403+0)+28060+44158+9517)+(0+20463)+118015)+((0+5729+(0+0)+0+29686+0)+(0+0)+0)+((0+0+(0+0)+0+0+0)+(0+0)+0))-(((0+0+(0+0)+0+0+0)+(0+0)+0)+((39379+660396+(26009+0)+102160+98210+41228)+(0+1590)+20480)))</f>
        <v>-462308</v>
      </c>
    </row>
    <row r="18" spans="1:9" ht="14" x14ac:dyDescent="0.3">
      <c r="A18" s="2" t="s">
        <v>24</v>
      </c>
      <c r="B18" s="3">
        <f>((9663+128227+(207994+124341)+40363+162446+25214)+(1213+3444)+77792)</f>
        <v>780697</v>
      </c>
      <c r="C18" s="3">
        <f>((0+5900+(0+0)+0+0+0)+(0+0)+0)</f>
        <v>5900</v>
      </c>
      <c r="D18" s="3">
        <f t="shared" si="0"/>
        <v>0</v>
      </c>
      <c r="E18" s="3">
        <f>(((9663+128227+(207994+124341)+40363+162446+25214)+(1213+3444)+77792)+((0+5900+(0+0)+0+0+0)+(0+0)+0)+((0+0+(0+0)+0+0+0)+(0+0)+0))</f>
        <v>786597</v>
      </c>
      <c r="F18" s="3">
        <f>((0+10251+(0+0)+0+1597+0)+(0+0)+0)</f>
        <v>11848</v>
      </c>
      <c r="G18" s="3">
        <f>((91876+387892+(587400+119888)+81686+203859+36062)+(8646+85009)+72512)</f>
        <v>1674830</v>
      </c>
      <c r="H18" s="3">
        <f>(((0+10251+(0+0)+0+1597+0)+(0+0)+0)+((91876+387892+(587400+119888)+81686+203859+36062)+(8646+85009)+72512))</f>
        <v>1686678</v>
      </c>
      <c r="I18" s="3">
        <f>((((9663+128227+(207994+124341)+40363+162446+25214)+(1213+3444)+77792)+((0+5900+(0+0)+0+0+0)+(0+0)+0)+((0+0+(0+0)+0+0+0)+(0+0)+0))-(((0+10251+(0+0)+0+1597+0)+(0+0)+0)+((91876+387892+(587400+119888)+81686+203859+36062)+(8646+85009)+72512)))</f>
        <v>-900081</v>
      </c>
    </row>
    <row r="19" spans="1:9" ht="14" x14ac:dyDescent="0.3">
      <c r="A19" s="2" t="s">
        <v>25</v>
      </c>
      <c r="B19" s="3">
        <f>((77228+676025+(400436+347568)+9982+304751+70254)+(11638+21031)+45685)</f>
        <v>1964598</v>
      </c>
      <c r="C19" s="3">
        <f>((0+0+(0+0)+0+0+0)+(0+0)+0)</f>
        <v>0</v>
      </c>
      <c r="D19" s="3">
        <f t="shared" si="0"/>
        <v>0</v>
      </c>
      <c r="E19" s="3">
        <f>(((77228+676025+(400436+347568)+9982+304751+70254)+(11638+21031)+45685)+((0+0+(0+0)+0+0+0)+(0+0)+0)+((0+0+(0+0)+0+0+0)+(0+0)+0))</f>
        <v>1964598</v>
      </c>
      <c r="F19" s="3">
        <f>((0+0+(0+0)+0+0+0)+(0+0)+0)</f>
        <v>0</v>
      </c>
      <c r="G19" s="3">
        <f>((60428+170681+(0+0)+0+3326+0)+(0+0)+0)</f>
        <v>234435</v>
      </c>
      <c r="H19" s="3">
        <f>(((0+0+(0+0)+0+0+0)+(0+0)+0)+((60428+170681+(0+0)+0+3326+0)+(0+0)+0))</f>
        <v>234435</v>
      </c>
      <c r="I19" s="3">
        <f>((((77228+676025+(400436+347568)+9982+304751+70254)+(11638+21031)+45685)+((0+0+(0+0)+0+0+0)+(0+0)+0)+((0+0+(0+0)+0+0+0)+(0+0)+0))-(((0+0+(0+0)+0+0+0)+(0+0)+0)+((60428+170681+(0+0)+0+3326+0)+(0+0)+0)))</f>
        <v>1730163</v>
      </c>
    </row>
    <row r="20" spans="1:9" ht="14" x14ac:dyDescent="0.3">
      <c r="A20" s="2" t="s">
        <v>26</v>
      </c>
      <c r="B20" s="3">
        <f>((165429+172676+(743136+163030)+93138+85752+138473)+(2148730+0)+117812)</f>
        <v>3828176</v>
      </c>
      <c r="C20" s="3">
        <f>((0+0+(0+0)+0+0+0)+(0+0)+0)</f>
        <v>0</v>
      </c>
      <c r="D20" s="3">
        <f t="shared" si="0"/>
        <v>0</v>
      </c>
      <c r="E20" s="3">
        <f>(((165429+172676+(743136+163030)+93138+85752+138473)+(2148730+0)+117812)+((0+0+(0+0)+0+0+0)+(0+0)+0)+((0+0+(0+0)+0+0+0)+(0+0)+0))</f>
        <v>3828176</v>
      </c>
      <c r="F20" s="3">
        <f>((0+0+(0+0)+0+0+0)+(0+0)+0)</f>
        <v>0</v>
      </c>
      <c r="G20" s="3">
        <f>((3596+60469+(383+0)+16049+26294+7762)+(234440+0)+0)</f>
        <v>348993</v>
      </c>
      <c r="H20" s="3">
        <f>(((0+0+(0+0)+0+0+0)+(0+0)+0)+((3596+60469+(383+0)+16049+26294+7762)+(234440+0)+0))</f>
        <v>348993</v>
      </c>
      <c r="I20" s="3">
        <f>((((165429+172676+(743136+163030)+93138+85752+138473)+(2148730+0)+117812)+((0+0+(0+0)+0+0+0)+(0+0)+0)+((0+0+(0+0)+0+0+0)+(0+0)+0))-(((0+0+(0+0)+0+0+0)+(0+0)+0)+((3596+60469+(383+0)+16049+26294+7762)+(234440+0)+0)))</f>
        <v>3479183</v>
      </c>
    </row>
    <row r="21" spans="1:9" ht="14" x14ac:dyDescent="0.3">
      <c r="A21" s="5" t="s">
        <v>27</v>
      </c>
      <c r="B21" s="5"/>
      <c r="C21" s="5"/>
      <c r="D21" s="5"/>
      <c r="E21" s="5"/>
      <c r="F21" s="5"/>
      <c r="G21" s="5"/>
      <c r="H21" s="5"/>
      <c r="I21" s="5"/>
    </row>
    <row r="22" spans="1:9" ht="14" x14ac:dyDescent="0.3">
      <c r="A22" s="4" t="s">
        <v>1</v>
      </c>
      <c r="B22" s="1" t="s">
        <v>2</v>
      </c>
      <c r="C22" s="1" t="s">
        <v>3</v>
      </c>
      <c r="D22" s="1" t="s">
        <v>4</v>
      </c>
      <c r="E22" s="1" t="s">
        <v>5</v>
      </c>
      <c r="F22" s="1" t="s">
        <v>6</v>
      </c>
      <c r="G22" s="1" t="s">
        <v>7</v>
      </c>
      <c r="H22" s="1" t="s">
        <v>8</v>
      </c>
      <c r="I22" s="1" t="s">
        <v>9</v>
      </c>
    </row>
    <row r="23" spans="1:9" ht="14" x14ac:dyDescent="0.3">
      <c r="A23" s="4"/>
      <c r="B23" s="1">
        <v>2023</v>
      </c>
      <c r="C23" s="1">
        <v>2023</v>
      </c>
      <c r="D23" s="1">
        <v>2023</v>
      </c>
      <c r="E23" s="1">
        <v>2023</v>
      </c>
      <c r="F23" s="1">
        <v>2023</v>
      </c>
      <c r="G23" s="1">
        <v>2023</v>
      </c>
      <c r="H23" s="1">
        <v>2023</v>
      </c>
      <c r="I23" s="1">
        <v>2023</v>
      </c>
    </row>
    <row r="24" spans="1:9" ht="14" x14ac:dyDescent="0.3">
      <c r="A24" s="2" t="s">
        <v>10</v>
      </c>
      <c r="B24" s="3">
        <f>14999</f>
        <v>14999</v>
      </c>
      <c r="C24" s="3">
        <f>0</f>
        <v>0</v>
      </c>
      <c r="D24" s="3">
        <f>0</f>
        <v>0</v>
      </c>
      <c r="E24" s="3">
        <f>(14999+0+0)</f>
        <v>14999</v>
      </c>
      <c r="F24" s="3">
        <f>0</f>
        <v>0</v>
      </c>
      <c r="G24" s="3">
        <f>69940</f>
        <v>69940</v>
      </c>
      <c r="H24" s="3">
        <f>(0+69940)</f>
        <v>69940</v>
      </c>
      <c r="I24" s="3">
        <f>((14999+0+0)-(0+69940))</f>
        <v>-54941</v>
      </c>
    </row>
    <row r="25" spans="1:9" ht="14" x14ac:dyDescent="0.3">
      <c r="A25" s="2" t="s">
        <v>11</v>
      </c>
      <c r="B25" s="3">
        <f>0</f>
        <v>0</v>
      </c>
      <c r="C25" s="3">
        <f>0</f>
        <v>0</v>
      </c>
      <c r="D25" s="3">
        <f>0</f>
        <v>0</v>
      </c>
      <c r="E25" s="3">
        <f>(0+0+0)</f>
        <v>0</v>
      </c>
      <c r="F25" s="3">
        <f>0</f>
        <v>0</v>
      </c>
      <c r="G25" s="3">
        <f>0</f>
        <v>0</v>
      </c>
      <c r="H25" s="3">
        <f>(0+0)</f>
        <v>0</v>
      </c>
      <c r="I25" s="3">
        <f>((0+0+0)-(0+0))</f>
        <v>0</v>
      </c>
    </row>
    <row r="26" spans="1:9" ht="14" x14ac:dyDescent="0.3">
      <c r="A26" s="2" t="s">
        <v>12</v>
      </c>
      <c r="B26" s="3">
        <f>131606</f>
        <v>131606</v>
      </c>
      <c r="C26" s="3">
        <f>5380</f>
        <v>5380</v>
      </c>
      <c r="D26" s="3">
        <f>0</f>
        <v>0</v>
      </c>
      <c r="E26" s="3">
        <f>(131606+5380+0)</f>
        <v>136986</v>
      </c>
      <c r="F26" s="3">
        <f>34516</f>
        <v>34516</v>
      </c>
      <c r="G26" s="3">
        <f>334024</f>
        <v>334024</v>
      </c>
      <c r="H26" s="3">
        <f>(34516+334024)</f>
        <v>368540</v>
      </c>
      <c r="I26" s="3">
        <f>((131606+5380+0)-(34516+334024))</f>
        <v>-231554</v>
      </c>
    </row>
    <row r="27" spans="1:9" ht="14" x14ac:dyDescent="0.3">
      <c r="A27" s="2" t="s">
        <v>13</v>
      </c>
      <c r="B27" s="3">
        <f>248340</f>
        <v>248340</v>
      </c>
      <c r="C27" s="3">
        <f>33350</f>
        <v>33350</v>
      </c>
      <c r="D27" s="3">
        <f>0</f>
        <v>0</v>
      </c>
      <c r="E27" s="3">
        <f>(248340+33350+0)</f>
        <v>281690</v>
      </c>
      <c r="F27" s="3">
        <f>4943</f>
        <v>4943</v>
      </c>
      <c r="G27" s="3">
        <f>19857</f>
        <v>19857</v>
      </c>
      <c r="H27" s="3">
        <f>(4943+19857)</f>
        <v>24800</v>
      </c>
      <c r="I27" s="3">
        <f>((248340+33350+0)-(4943+19857))</f>
        <v>256890</v>
      </c>
    </row>
    <row r="28" spans="1:9" ht="14" x14ac:dyDescent="0.3">
      <c r="A28" s="2" t="s">
        <v>14</v>
      </c>
      <c r="B28" s="3">
        <f>55198</f>
        <v>55198</v>
      </c>
      <c r="C28" s="3">
        <f>0</f>
        <v>0</v>
      </c>
      <c r="D28" s="3">
        <f>0</f>
        <v>0</v>
      </c>
      <c r="E28" s="3">
        <f>(55198+0+0)</f>
        <v>55198</v>
      </c>
      <c r="F28" s="3">
        <f>49786</f>
        <v>49786</v>
      </c>
      <c r="G28" s="3">
        <f>40125</f>
        <v>40125</v>
      </c>
      <c r="H28" s="3">
        <f>(49786+40125)</f>
        <v>89911</v>
      </c>
      <c r="I28" s="3">
        <f>((55198+0+0)-(49786+40125))</f>
        <v>-34713</v>
      </c>
    </row>
    <row r="29" spans="1:9" ht="14" x14ac:dyDescent="0.3">
      <c r="A29" s="2" t="s">
        <v>15</v>
      </c>
      <c r="B29" s="3">
        <f>101454</f>
        <v>101454</v>
      </c>
      <c r="C29" s="3">
        <f>0</f>
        <v>0</v>
      </c>
      <c r="D29" s="3">
        <f>0</f>
        <v>0</v>
      </c>
      <c r="E29" s="3">
        <f>(101454+0+0)</f>
        <v>101454</v>
      </c>
      <c r="F29" s="3">
        <f>0</f>
        <v>0</v>
      </c>
      <c r="G29" s="3">
        <f>285396</f>
        <v>285396</v>
      </c>
      <c r="H29" s="3">
        <f>(0+285396)</f>
        <v>285396</v>
      </c>
      <c r="I29" s="3">
        <f>((101454+0+0)-(0+285396))</f>
        <v>-183942</v>
      </c>
    </row>
    <row r="30" spans="1:9" ht="14" x14ac:dyDescent="0.3">
      <c r="A30" s="2" t="s">
        <v>16</v>
      </c>
      <c r="B30" s="3">
        <f>73548</f>
        <v>73548</v>
      </c>
      <c r="C30" s="3">
        <f>0</f>
        <v>0</v>
      </c>
      <c r="D30" s="3">
        <f>0</f>
        <v>0</v>
      </c>
      <c r="E30" s="3">
        <f>(73548+0+0)</f>
        <v>73548</v>
      </c>
      <c r="F30" s="3">
        <f>0</f>
        <v>0</v>
      </c>
      <c r="G30" s="3">
        <f>0</f>
        <v>0</v>
      </c>
      <c r="H30" s="3">
        <f>(0+0)</f>
        <v>0</v>
      </c>
      <c r="I30" s="3">
        <f>((73548+0+0)-(0+0))</f>
        <v>73548</v>
      </c>
    </row>
    <row r="31" spans="1:9" ht="14" x14ac:dyDescent="0.3">
      <c r="A31" s="2" t="s">
        <v>17</v>
      </c>
      <c r="B31" s="3">
        <f>333</f>
        <v>333</v>
      </c>
      <c r="C31" s="3">
        <f>2452</f>
        <v>2452</v>
      </c>
      <c r="D31" s="3">
        <f>0</f>
        <v>0</v>
      </c>
      <c r="E31" s="3">
        <f>(333+2452+0)</f>
        <v>2785</v>
      </c>
      <c r="F31" s="3">
        <f>0</f>
        <v>0</v>
      </c>
      <c r="G31" s="3">
        <f>0</f>
        <v>0</v>
      </c>
      <c r="H31" s="3">
        <f>(0+0)</f>
        <v>0</v>
      </c>
      <c r="I31" s="3">
        <f>((333+2452+0)-(0+0))</f>
        <v>2785</v>
      </c>
    </row>
    <row r="32" spans="1:9" ht="14" x14ac:dyDescent="0.3">
      <c r="A32" s="2" t="s">
        <v>18</v>
      </c>
      <c r="B32" s="3">
        <f>4208</f>
        <v>4208</v>
      </c>
      <c r="C32" s="3">
        <f>7203</f>
        <v>7203</v>
      </c>
      <c r="D32" s="3">
        <f>0</f>
        <v>0</v>
      </c>
      <c r="E32" s="3">
        <f>(4208+7203+0)</f>
        <v>11411</v>
      </c>
      <c r="F32" s="3">
        <f>2157</f>
        <v>2157</v>
      </c>
      <c r="G32" s="3">
        <f>14228</f>
        <v>14228</v>
      </c>
      <c r="H32" s="3">
        <f>(2157+14228)</f>
        <v>16385</v>
      </c>
      <c r="I32" s="3">
        <f>((4208+7203+0)-(2157+14228))</f>
        <v>-4974</v>
      </c>
    </row>
    <row r="33" spans="1:9" ht="14" x14ac:dyDescent="0.3">
      <c r="A33" s="2" t="s">
        <v>19</v>
      </c>
      <c r="B33" s="3">
        <f>127932</f>
        <v>127932</v>
      </c>
      <c r="C33" s="3">
        <f>0</f>
        <v>0</v>
      </c>
      <c r="D33" s="3">
        <f>0</f>
        <v>0</v>
      </c>
      <c r="E33" s="3">
        <f>(127932+0+0)</f>
        <v>127932</v>
      </c>
      <c r="F33" s="3">
        <f>0</f>
        <v>0</v>
      </c>
      <c r="G33" s="3">
        <f>184507</f>
        <v>184507</v>
      </c>
      <c r="H33" s="3">
        <f>(0+184507)</f>
        <v>184507</v>
      </c>
      <c r="I33" s="3">
        <f>((127932+0+0)-(0+184507))</f>
        <v>-56575</v>
      </c>
    </row>
    <row r="34" spans="1:9" ht="14" x14ac:dyDescent="0.3">
      <c r="A34" s="2" t="s">
        <v>20</v>
      </c>
      <c r="B34" s="3">
        <f>21214</f>
        <v>21214</v>
      </c>
      <c r="C34" s="3">
        <f>1064</f>
        <v>1064</v>
      </c>
      <c r="D34" s="3">
        <f>0</f>
        <v>0</v>
      </c>
      <c r="E34" s="3">
        <f>(21214+1064+0)</f>
        <v>22278</v>
      </c>
      <c r="F34" s="3">
        <f>2653</f>
        <v>2653</v>
      </c>
      <c r="G34" s="3">
        <f>34612</f>
        <v>34612</v>
      </c>
      <c r="H34" s="3">
        <f>(2653+34612)</f>
        <v>37265</v>
      </c>
      <c r="I34" s="3">
        <f>((21214+1064+0)-(2653+34612))</f>
        <v>-14987</v>
      </c>
    </row>
    <row r="35" spans="1:9" ht="14" x14ac:dyDescent="0.3">
      <c r="A35" s="2" t="s">
        <v>21</v>
      </c>
      <c r="B35" s="3">
        <f>0</f>
        <v>0</v>
      </c>
      <c r="C35" s="3">
        <f>0</f>
        <v>0</v>
      </c>
      <c r="D35" s="3">
        <f>0</f>
        <v>0</v>
      </c>
      <c r="E35" s="3">
        <f>(0+0+0)</f>
        <v>0</v>
      </c>
      <c r="F35" s="3">
        <f>0</f>
        <v>0</v>
      </c>
      <c r="G35" s="3">
        <f>0</f>
        <v>0</v>
      </c>
      <c r="H35" s="3">
        <f>(0+0)</f>
        <v>0</v>
      </c>
      <c r="I35" s="3">
        <f>((0+0+0)-(0+0))</f>
        <v>0</v>
      </c>
    </row>
    <row r="36" spans="1:9" ht="14" x14ac:dyDescent="0.3">
      <c r="A36" s="2" t="s">
        <v>22</v>
      </c>
      <c r="B36" s="3">
        <f>80925</f>
        <v>80925</v>
      </c>
      <c r="C36" s="3">
        <f>16420</f>
        <v>16420</v>
      </c>
      <c r="D36" s="3">
        <f>0</f>
        <v>0</v>
      </c>
      <c r="E36" s="3">
        <f>(80925+16420+0)</f>
        <v>97345</v>
      </c>
      <c r="F36" s="3">
        <f>7241</f>
        <v>7241</v>
      </c>
      <c r="G36" s="3">
        <f>117292</f>
        <v>117292</v>
      </c>
      <c r="H36" s="3">
        <f>(7241+117292)</f>
        <v>124533</v>
      </c>
      <c r="I36" s="3">
        <f>((80925+16420+0)-(7241+117292))</f>
        <v>-27188</v>
      </c>
    </row>
    <row r="37" spans="1:9" ht="14" x14ac:dyDescent="0.3">
      <c r="A37" s="2" t="s">
        <v>23</v>
      </c>
      <c r="B37" s="3">
        <f>44158</f>
        <v>44158</v>
      </c>
      <c r="C37" s="3">
        <f>29686</f>
        <v>29686</v>
      </c>
      <c r="D37" s="3">
        <f>0</f>
        <v>0</v>
      </c>
      <c r="E37" s="3">
        <f>(44158+29686+0)</f>
        <v>73844</v>
      </c>
      <c r="F37" s="3">
        <f>0</f>
        <v>0</v>
      </c>
      <c r="G37" s="3">
        <f>98210</f>
        <v>98210</v>
      </c>
      <c r="H37" s="3">
        <f>(0+98210)</f>
        <v>98210</v>
      </c>
      <c r="I37" s="3">
        <f>((44158+29686+0)-(0+98210))</f>
        <v>-24366</v>
      </c>
    </row>
    <row r="38" spans="1:9" ht="14" x14ac:dyDescent="0.3">
      <c r="A38" s="2" t="s">
        <v>24</v>
      </c>
      <c r="B38" s="3">
        <f>162446</f>
        <v>162446</v>
      </c>
      <c r="C38" s="3">
        <f>0</f>
        <v>0</v>
      </c>
      <c r="D38" s="3">
        <f>0</f>
        <v>0</v>
      </c>
      <c r="E38" s="3">
        <f>(162446+0+0)</f>
        <v>162446</v>
      </c>
      <c r="F38" s="3">
        <f>1597</f>
        <v>1597</v>
      </c>
      <c r="G38" s="3">
        <f>203859</f>
        <v>203859</v>
      </c>
      <c r="H38" s="3">
        <f>(1597+203859)</f>
        <v>205456</v>
      </c>
      <c r="I38" s="3">
        <f>((162446+0+0)-(1597+203859))</f>
        <v>-43010</v>
      </c>
    </row>
    <row r="39" spans="1:9" ht="14" x14ac:dyDescent="0.3">
      <c r="A39" s="2" t="s">
        <v>25</v>
      </c>
      <c r="B39" s="3">
        <f>304751</f>
        <v>304751</v>
      </c>
      <c r="C39" s="3">
        <f>0</f>
        <v>0</v>
      </c>
      <c r="D39" s="3">
        <f>0</f>
        <v>0</v>
      </c>
      <c r="E39" s="3">
        <f>(304751+0+0)</f>
        <v>304751</v>
      </c>
      <c r="F39" s="3">
        <f>0</f>
        <v>0</v>
      </c>
      <c r="G39" s="3">
        <f>3326</f>
        <v>3326</v>
      </c>
      <c r="H39" s="3">
        <f>(0+3326)</f>
        <v>3326</v>
      </c>
      <c r="I39" s="3">
        <f>((304751+0+0)-(0+3326))</f>
        <v>301425</v>
      </c>
    </row>
    <row r="40" spans="1:9" ht="14" x14ac:dyDescent="0.3">
      <c r="A40" s="2" t="s">
        <v>26</v>
      </c>
      <c r="B40" s="3">
        <f>85752</f>
        <v>85752</v>
      </c>
      <c r="C40" s="3">
        <f>0</f>
        <v>0</v>
      </c>
      <c r="D40" s="3">
        <f>0</f>
        <v>0</v>
      </c>
      <c r="E40" s="3">
        <f>(85752+0+0)</f>
        <v>85752</v>
      </c>
      <c r="F40" s="3">
        <f>0</f>
        <v>0</v>
      </c>
      <c r="G40" s="3">
        <f>26294</f>
        <v>26294</v>
      </c>
      <c r="H40" s="3">
        <f>(0+26294)</f>
        <v>26294</v>
      </c>
      <c r="I40" s="3">
        <f>((85752+0+0)-(0+26294))</f>
        <v>59458</v>
      </c>
    </row>
    <row r="41" spans="1:9" ht="14" x14ac:dyDescent="0.3">
      <c r="A41" s="5" t="s">
        <v>28</v>
      </c>
      <c r="B41" s="5"/>
      <c r="C41" s="5"/>
      <c r="D41" s="5"/>
      <c r="E41" s="5"/>
      <c r="F41" s="5"/>
      <c r="G41" s="5"/>
      <c r="H41" s="5"/>
      <c r="I41" s="5"/>
    </row>
    <row r="42" spans="1:9" ht="14" x14ac:dyDescent="0.3">
      <c r="A42" s="4" t="s">
        <v>1</v>
      </c>
      <c r="B42" s="1" t="s">
        <v>2</v>
      </c>
      <c r="C42" s="1" t="s">
        <v>3</v>
      </c>
      <c r="D42" s="1" t="s">
        <v>4</v>
      </c>
      <c r="E42" s="1" t="s">
        <v>5</v>
      </c>
      <c r="F42" s="1" t="s">
        <v>6</v>
      </c>
      <c r="G42" s="1" t="s">
        <v>7</v>
      </c>
      <c r="H42" s="1" t="s">
        <v>8</v>
      </c>
      <c r="I42" s="1" t="s">
        <v>9</v>
      </c>
    </row>
    <row r="43" spans="1:9" ht="14" x14ac:dyDescent="0.3">
      <c r="A43" s="4"/>
      <c r="B43" s="1">
        <v>2023</v>
      </c>
      <c r="C43" s="1">
        <v>2023</v>
      </c>
      <c r="D43" s="1">
        <v>2023</v>
      </c>
      <c r="E43" s="1">
        <v>2023</v>
      </c>
      <c r="F43" s="1">
        <v>2023</v>
      </c>
      <c r="G43" s="1">
        <v>2023</v>
      </c>
      <c r="H43" s="1">
        <v>2023</v>
      </c>
      <c r="I43" s="1">
        <v>2023</v>
      </c>
    </row>
    <row r="44" spans="1:9" ht="14" x14ac:dyDescent="0.3">
      <c r="A44" s="2" t="s">
        <v>10</v>
      </c>
      <c r="B44" s="3">
        <f>10400</f>
        <v>10400</v>
      </c>
      <c r="C44" s="3">
        <f>0</f>
        <v>0</v>
      </c>
      <c r="D44" s="3">
        <f>0</f>
        <v>0</v>
      </c>
      <c r="E44" s="3">
        <f>(10400+0+0)</f>
        <v>10400</v>
      </c>
      <c r="F44" s="3">
        <f>0</f>
        <v>0</v>
      </c>
      <c r="G44" s="3">
        <f>141014</f>
        <v>141014</v>
      </c>
      <c r="H44" s="3">
        <f>(0+141014)</f>
        <v>141014</v>
      </c>
      <c r="I44" s="3">
        <f>((10400+0+0)-(0+141014))</f>
        <v>-130614</v>
      </c>
    </row>
    <row r="45" spans="1:9" ht="14" x14ac:dyDescent="0.3">
      <c r="A45" s="2" t="s">
        <v>11</v>
      </c>
      <c r="B45" s="3">
        <f>194208</f>
        <v>194208</v>
      </c>
      <c r="C45" s="3">
        <f>0</f>
        <v>0</v>
      </c>
      <c r="D45" s="3">
        <f>0</f>
        <v>0</v>
      </c>
      <c r="E45" s="3">
        <f>(194208+0+0)</f>
        <v>194208</v>
      </c>
      <c r="F45" s="3">
        <f>0</f>
        <v>0</v>
      </c>
      <c r="G45" s="3">
        <f>371063</f>
        <v>371063</v>
      </c>
      <c r="H45" s="3">
        <f>(0+371063)</f>
        <v>371063</v>
      </c>
      <c r="I45" s="3">
        <f>((194208+0+0)-(0+371063))</f>
        <v>-176855</v>
      </c>
    </row>
    <row r="46" spans="1:9" ht="14" x14ac:dyDescent="0.3">
      <c r="A46" s="2" t="s">
        <v>12</v>
      </c>
      <c r="B46" s="3">
        <f>276193</f>
        <v>276193</v>
      </c>
      <c r="C46" s="3">
        <f>0</f>
        <v>0</v>
      </c>
      <c r="D46" s="3">
        <f>0</f>
        <v>0</v>
      </c>
      <c r="E46" s="3">
        <f>(276193+0+0)</f>
        <v>276193</v>
      </c>
      <c r="F46" s="3">
        <f>0</f>
        <v>0</v>
      </c>
      <c r="G46" s="3">
        <f>64692</f>
        <v>64692</v>
      </c>
      <c r="H46" s="3">
        <f>(0+64692)</f>
        <v>64692</v>
      </c>
      <c r="I46" s="3">
        <f>((276193+0+0)-(0+64692))</f>
        <v>211501</v>
      </c>
    </row>
    <row r="47" spans="1:9" ht="14" x14ac:dyDescent="0.3">
      <c r="A47" s="2" t="s">
        <v>13</v>
      </c>
      <c r="B47" s="3">
        <f>523802</f>
        <v>523802</v>
      </c>
      <c r="C47" s="3">
        <f>94890</f>
        <v>94890</v>
      </c>
      <c r="D47" s="3">
        <f>0</f>
        <v>0</v>
      </c>
      <c r="E47" s="3">
        <f>(523802+94890+0)</f>
        <v>618692</v>
      </c>
      <c r="F47" s="3">
        <f>0</f>
        <v>0</v>
      </c>
      <c r="G47" s="3">
        <f>0</f>
        <v>0</v>
      </c>
      <c r="H47" s="3">
        <f>(0+0)</f>
        <v>0</v>
      </c>
      <c r="I47" s="3">
        <f>((523802+94890+0)-(0+0))</f>
        <v>618692</v>
      </c>
    </row>
    <row r="48" spans="1:9" ht="14" x14ac:dyDescent="0.3">
      <c r="A48" s="2" t="s">
        <v>14</v>
      </c>
      <c r="B48" s="3">
        <f>12128995</f>
        <v>12128995</v>
      </c>
      <c r="C48" s="3">
        <f>0</f>
        <v>0</v>
      </c>
      <c r="D48" s="3">
        <f>0</f>
        <v>0</v>
      </c>
      <c r="E48" s="3">
        <f>(12128995+0+0)</f>
        <v>12128995</v>
      </c>
      <c r="F48" s="3">
        <f>0</f>
        <v>0</v>
      </c>
      <c r="G48" s="3">
        <f>4052990</f>
        <v>4052990</v>
      </c>
      <c r="H48" s="3">
        <f>(0+4052990)</f>
        <v>4052990</v>
      </c>
      <c r="I48" s="3">
        <f>((12128995+0+0)-(0+4052990))</f>
        <v>8076005</v>
      </c>
    </row>
    <row r="49" spans="1:9" ht="14" x14ac:dyDescent="0.3">
      <c r="A49" s="2" t="s">
        <v>15</v>
      </c>
      <c r="B49" s="3">
        <f>582783</f>
        <v>582783</v>
      </c>
      <c r="C49" s="3">
        <f>0</f>
        <v>0</v>
      </c>
      <c r="D49" s="3">
        <f>0</f>
        <v>0</v>
      </c>
      <c r="E49" s="3">
        <f>(582783+0+0)</f>
        <v>582783</v>
      </c>
      <c r="F49" s="3">
        <f>0</f>
        <v>0</v>
      </c>
      <c r="G49" s="3">
        <f>1527</f>
        <v>1527</v>
      </c>
      <c r="H49" s="3">
        <f>(0+1527)</f>
        <v>1527</v>
      </c>
      <c r="I49" s="3">
        <f>((582783+0+0)-(0+1527))</f>
        <v>581256</v>
      </c>
    </row>
    <row r="50" spans="1:9" ht="14" x14ac:dyDescent="0.3">
      <c r="A50" s="2" t="s">
        <v>16</v>
      </c>
      <c r="B50" s="3">
        <f>0</f>
        <v>0</v>
      </c>
      <c r="C50" s="3">
        <f>0</f>
        <v>0</v>
      </c>
      <c r="D50" s="3">
        <f>0</f>
        <v>0</v>
      </c>
      <c r="E50" s="3">
        <f>(0+0+0)</f>
        <v>0</v>
      </c>
      <c r="F50" s="3">
        <f>0</f>
        <v>0</v>
      </c>
      <c r="G50" s="3">
        <f>0</f>
        <v>0</v>
      </c>
      <c r="H50" s="3">
        <f>(0+0)</f>
        <v>0</v>
      </c>
      <c r="I50" s="3">
        <f>((0+0+0)-(0+0))</f>
        <v>0</v>
      </c>
    </row>
    <row r="51" spans="1:9" ht="14" x14ac:dyDescent="0.3">
      <c r="A51" s="2" t="s">
        <v>17</v>
      </c>
      <c r="B51" s="3">
        <f>0</f>
        <v>0</v>
      </c>
      <c r="C51" s="3">
        <f>0</f>
        <v>0</v>
      </c>
      <c r="D51" s="3">
        <f>0</f>
        <v>0</v>
      </c>
      <c r="E51" s="3">
        <f>(0+0+0)</f>
        <v>0</v>
      </c>
      <c r="F51" s="3">
        <f>0</f>
        <v>0</v>
      </c>
      <c r="G51" s="3">
        <f>0</f>
        <v>0</v>
      </c>
      <c r="H51" s="3">
        <f>(0+0)</f>
        <v>0</v>
      </c>
      <c r="I51" s="3">
        <f>((0+0+0)-(0+0))</f>
        <v>0</v>
      </c>
    </row>
    <row r="52" spans="1:9" ht="14" x14ac:dyDescent="0.3">
      <c r="A52" s="2" t="s">
        <v>18</v>
      </c>
      <c r="B52" s="3">
        <f>64372</f>
        <v>64372</v>
      </c>
      <c r="C52" s="3">
        <f>0</f>
        <v>0</v>
      </c>
      <c r="D52" s="3">
        <f>0</f>
        <v>0</v>
      </c>
      <c r="E52" s="3">
        <f>(64372+0+0)</f>
        <v>64372</v>
      </c>
      <c r="F52" s="3">
        <f>0</f>
        <v>0</v>
      </c>
      <c r="G52" s="3">
        <f>45</f>
        <v>45</v>
      </c>
      <c r="H52" s="3">
        <f>(0+45)</f>
        <v>45</v>
      </c>
      <c r="I52" s="3">
        <f>((64372+0+0)-(0+45))</f>
        <v>64327</v>
      </c>
    </row>
    <row r="53" spans="1:9" ht="14" x14ac:dyDescent="0.3">
      <c r="A53" s="2" t="s">
        <v>19</v>
      </c>
      <c r="B53" s="3">
        <f>81034</f>
        <v>81034</v>
      </c>
      <c r="C53" s="3">
        <f>0</f>
        <v>0</v>
      </c>
      <c r="D53" s="3">
        <f>0</f>
        <v>0</v>
      </c>
      <c r="E53" s="3">
        <f>(81034+0+0)</f>
        <v>81034</v>
      </c>
      <c r="F53" s="3">
        <f>0</f>
        <v>0</v>
      </c>
      <c r="G53" s="3">
        <f>43167</f>
        <v>43167</v>
      </c>
      <c r="H53" s="3">
        <f>(0+43167)</f>
        <v>43167</v>
      </c>
      <c r="I53" s="3">
        <f>((81034+0+0)-(0+43167))</f>
        <v>37867</v>
      </c>
    </row>
    <row r="54" spans="1:9" ht="14" x14ac:dyDescent="0.3">
      <c r="A54" s="2" t="s">
        <v>20</v>
      </c>
      <c r="B54" s="3">
        <f>11709</f>
        <v>11709</v>
      </c>
      <c r="C54" s="3">
        <f>0</f>
        <v>0</v>
      </c>
      <c r="D54" s="3">
        <f>0</f>
        <v>0</v>
      </c>
      <c r="E54" s="3">
        <f>(11709+0+0)</f>
        <v>11709</v>
      </c>
      <c r="F54" s="3">
        <f>0</f>
        <v>0</v>
      </c>
      <c r="G54" s="3">
        <f>100812</f>
        <v>100812</v>
      </c>
      <c r="H54" s="3">
        <f>(0+100812)</f>
        <v>100812</v>
      </c>
      <c r="I54" s="3">
        <f>((11709+0+0)-(0+100812))</f>
        <v>-89103</v>
      </c>
    </row>
    <row r="55" spans="1:9" ht="14" x14ac:dyDescent="0.3">
      <c r="A55" s="2" t="s">
        <v>21</v>
      </c>
      <c r="B55" s="3">
        <f>102443</f>
        <v>102443</v>
      </c>
      <c r="C55" s="3">
        <f>0</f>
        <v>0</v>
      </c>
      <c r="D55" s="3">
        <f>0</f>
        <v>0</v>
      </c>
      <c r="E55" s="3">
        <f>(102443+0+0)</f>
        <v>102443</v>
      </c>
      <c r="F55" s="3">
        <f>0</f>
        <v>0</v>
      </c>
      <c r="G55" s="3">
        <f>1965</f>
        <v>1965</v>
      </c>
      <c r="H55" s="3">
        <f>(0+1965)</f>
        <v>1965</v>
      </c>
      <c r="I55" s="3">
        <f>((102443+0+0)-(0+1965))</f>
        <v>100478</v>
      </c>
    </row>
    <row r="56" spans="1:9" ht="14" x14ac:dyDescent="0.3">
      <c r="A56" s="2" t="s">
        <v>22</v>
      </c>
      <c r="B56" s="3">
        <f>286348</f>
        <v>286348</v>
      </c>
      <c r="C56" s="3">
        <f>0</f>
        <v>0</v>
      </c>
      <c r="D56" s="3">
        <f>0</f>
        <v>0</v>
      </c>
      <c r="E56" s="3">
        <f>(286348+0+0)</f>
        <v>286348</v>
      </c>
      <c r="F56" s="3">
        <f>0</f>
        <v>0</v>
      </c>
      <c r="G56" s="3">
        <f>0</f>
        <v>0</v>
      </c>
      <c r="H56" s="3">
        <f>(0+0)</f>
        <v>0</v>
      </c>
      <c r="I56" s="3">
        <f>((286348+0+0)-(0+0))</f>
        <v>286348</v>
      </c>
    </row>
    <row r="57" spans="1:9" ht="14" x14ac:dyDescent="0.3">
      <c r="A57" s="2" t="s">
        <v>23</v>
      </c>
      <c r="B57" s="3">
        <f>118015</f>
        <v>118015</v>
      </c>
      <c r="C57" s="3">
        <f>0</f>
        <v>0</v>
      </c>
      <c r="D57" s="3">
        <f>0</f>
        <v>0</v>
      </c>
      <c r="E57" s="3">
        <f>(118015+0+0)</f>
        <v>118015</v>
      </c>
      <c r="F57" s="3">
        <f>0</f>
        <v>0</v>
      </c>
      <c r="G57" s="3">
        <f>20480</f>
        <v>20480</v>
      </c>
      <c r="H57" s="3">
        <f>(0+20480)</f>
        <v>20480</v>
      </c>
      <c r="I57" s="3">
        <f>((118015+0+0)-(0+20480))</f>
        <v>97535</v>
      </c>
    </row>
    <row r="58" spans="1:9" ht="14" x14ac:dyDescent="0.3">
      <c r="A58" s="2" t="s">
        <v>24</v>
      </c>
      <c r="B58" s="3">
        <f>77792</f>
        <v>77792</v>
      </c>
      <c r="C58" s="3">
        <f>0</f>
        <v>0</v>
      </c>
      <c r="D58" s="3">
        <f>0</f>
        <v>0</v>
      </c>
      <c r="E58" s="3">
        <f>(77792+0+0)</f>
        <v>77792</v>
      </c>
      <c r="F58" s="3">
        <f>0</f>
        <v>0</v>
      </c>
      <c r="G58" s="3">
        <f>72512</f>
        <v>72512</v>
      </c>
      <c r="H58" s="3">
        <f>(0+72512)</f>
        <v>72512</v>
      </c>
      <c r="I58" s="3">
        <f>((77792+0+0)-(0+72512))</f>
        <v>5280</v>
      </c>
    </row>
    <row r="59" spans="1:9" ht="14" x14ac:dyDescent="0.3">
      <c r="A59" s="2" t="s">
        <v>25</v>
      </c>
      <c r="B59" s="3">
        <f>45685</f>
        <v>45685</v>
      </c>
      <c r="C59" s="3">
        <f>0</f>
        <v>0</v>
      </c>
      <c r="D59" s="3">
        <f>0</f>
        <v>0</v>
      </c>
      <c r="E59" s="3">
        <f>(45685+0+0)</f>
        <v>45685</v>
      </c>
      <c r="F59" s="3">
        <f>0</f>
        <v>0</v>
      </c>
      <c r="G59" s="3">
        <f>0</f>
        <v>0</v>
      </c>
      <c r="H59" s="3">
        <f>(0+0)</f>
        <v>0</v>
      </c>
      <c r="I59" s="3">
        <f>((45685+0+0)-(0+0))</f>
        <v>45685</v>
      </c>
    </row>
    <row r="60" spans="1:9" ht="14" x14ac:dyDescent="0.3">
      <c r="A60" s="2" t="s">
        <v>26</v>
      </c>
      <c r="B60" s="3">
        <f>117812</f>
        <v>117812</v>
      </c>
      <c r="C60" s="3">
        <f>0</f>
        <v>0</v>
      </c>
      <c r="D60" s="3">
        <f>0</f>
        <v>0</v>
      </c>
      <c r="E60" s="3">
        <f>(117812+0+0)</f>
        <v>117812</v>
      </c>
      <c r="F60" s="3">
        <f>0</f>
        <v>0</v>
      </c>
      <c r="G60" s="3">
        <f>0</f>
        <v>0</v>
      </c>
      <c r="H60" s="3">
        <f>(0+0)</f>
        <v>0</v>
      </c>
      <c r="I60" s="3">
        <f>((117812+0+0)-(0+0))</f>
        <v>117812</v>
      </c>
    </row>
    <row r="61" spans="1:9" ht="14" x14ac:dyDescent="0.3">
      <c r="A61" s="5" t="s">
        <v>29</v>
      </c>
      <c r="B61" s="5"/>
      <c r="C61" s="5"/>
      <c r="D61" s="5"/>
      <c r="E61" s="5"/>
      <c r="F61" s="5"/>
      <c r="G61" s="5"/>
      <c r="H61" s="5"/>
      <c r="I61" s="5"/>
    </row>
    <row r="62" spans="1:9" ht="14" x14ac:dyDescent="0.3">
      <c r="A62" s="4" t="s">
        <v>1</v>
      </c>
      <c r="B62" s="1" t="s">
        <v>2</v>
      </c>
      <c r="C62" s="1" t="s">
        <v>3</v>
      </c>
      <c r="D62" s="1" t="s">
        <v>4</v>
      </c>
      <c r="E62" s="1" t="s">
        <v>5</v>
      </c>
      <c r="F62" s="1" t="s">
        <v>6</v>
      </c>
      <c r="G62" s="1" t="s">
        <v>7</v>
      </c>
      <c r="H62" s="1" t="s">
        <v>8</v>
      </c>
      <c r="I62" s="1" t="s">
        <v>9</v>
      </c>
    </row>
    <row r="63" spans="1:9" ht="14" x14ac:dyDescent="0.3">
      <c r="A63" s="4"/>
      <c r="B63" s="1">
        <v>2023</v>
      </c>
      <c r="C63" s="1">
        <v>2023</v>
      </c>
      <c r="D63" s="1">
        <v>2023</v>
      </c>
      <c r="E63" s="1">
        <v>2023</v>
      </c>
      <c r="F63" s="1">
        <v>2023</v>
      </c>
      <c r="G63" s="1">
        <v>2023</v>
      </c>
      <c r="H63" s="1">
        <v>2023</v>
      </c>
      <c r="I63" s="1">
        <v>2023</v>
      </c>
    </row>
    <row r="64" spans="1:9" ht="14" x14ac:dyDescent="0.3">
      <c r="A64" s="2" t="s">
        <v>10</v>
      </c>
      <c r="B64" s="3">
        <f>48920</f>
        <v>48920</v>
      </c>
      <c r="C64" s="3">
        <f>0</f>
        <v>0</v>
      </c>
      <c r="D64" s="3">
        <f>0</f>
        <v>0</v>
      </c>
      <c r="E64" s="3">
        <f>(48920+0+0)</f>
        <v>48920</v>
      </c>
      <c r="F64" s="3">
        <f>0</f>
        <v>0</v>
      </c>
      <c r="G64" s="3">
        <f>32147</f>
        <v>32147</v>
      </c>
      <c r="H64" s="3">
        <f>(0+32147)</f>
        <v>32147</v>
      </c>
      <c r="I64" s="3">
        <f>((48920+0+0)-(0+32147))</f>
        <v>16773</v>
      </c>
    </row>
    <row r="65" spans="1:9" ht="14" x14ac:dyDescent="0.3">
      <c r="A65" s="2" t="s">
        <v>11</v>
      </c>
      <c r="B65" s="3">
        <f>1203605</f>
        <v>1203605</v>
      </c>
      <c r="C65" s="3">
        <f>0</f>
        <v>0</v>
      </c>
      <c r="D65" s="3">
        <f>0</f>
        <v>0</v>
      </c>
      <c r="E65" s="3">
        <f>(1203605+0+0)</f>
        <v>1203605</v>
      </c>
      <c r="F65" s="3">
        <f>0</f>
        <v>0</v>
      </c>
      <c r="G65" s="3">
        <f>3680</f>
        <v>3680</v>
      </c>
      <c r="H65" s="3">
        <f>(0+3680)</f>
        <v>3680</v>
      </c>
      <c r="I65" s="3">
        <f>((1203605+0+0)-(0+3680))</f>
        <v>1199925</v>
      </c>
    </row>
    <row r="66" spans="1:9" ht="14" x14ac:dyDescent="0.3">
      <c r="A66" s="2" t="s">
        <v>12</v>
      </c>
      <c r="B66" s="3">
        <f>120430</f>
        <v>120430</v>
      </c>
      <c r="C66" s="3">
        <f>0</f>
        <v>0</v>
      </c>
      <c r="D66" s="3">
        <f>0</f>
        <v>0</v>
      </c>
      <c r="E66" s="3">
        <f>(120430+0+0)</f>
        <v>120430</v>
      </c>
      <c r="F66" s="3">
        <f>0</f>
        <v>0</v>
      </c>
      <c r="G66" s="3">
        <f>497012</f>
        <v>497012</v>
      </c>
      <c r="H66" s="3">
        <f>(0+497012)</f>
        <v>497012</v>
      </c>
      <c r="I66" s="3">
        <f>((120430+0+0)-(0+497012))</f>
        <v>-376582</v>
      </c>
    </row>
    <row r="67" spans="1:9" ht="14" x14ac:dyDescent="0.3">
      <c r="A67" s="2" t="s">
        <v>13</v>
      </c>
      <c r="B67" s="3">
        <f>135188</f>
        <v>135188</v>
      </c>
      <c r="C67" s="3">
        <f>0</f>
        <v>0</v>
      </c>
      <c r="D67" s="3">
        <f>0</f>
        <v>0</v>
      </c>
      <c r="E67" s="3">
        <f>(135188+0+0)</f>
        <v>135188</v>
      </c>
      <c r="F67" s="3">
        <f>15</f>
        <v>15</v>
      </c>
      <c r="G67" s="3">
        <f>11157</f>
        <v>11157</v>
      </c>
      <c r="H67" s="3">
        <f>(15+11157)</f>
        <v>11172</v>
      </c>
      <c r="I67" s="3">
        <f>((135188+0+0)-(15+11157))</f>
        <v>124016</v>
      </c>
    </row>
    <row r="68" spans="1:9" ht="14" x14ac:dyDescent="0.3">
      <c r="A68" s="2" t="s">
        <v>14</v>
      </c>
      <c r="B68" s="3">
        <f>14133</f>
        <v>14133</v>
      </c>
      <c r="C68" s="3">
        <f>0</f>
        <v>0</v>
      </c>
      <c r="D68" s="3">
        <f>0</f>
        <v>0</v>
      </c>
      <c r="E68" s="3">
        <f>(14133+0+0)</f>
        <v>14133</v>
      </c>
      <c r="F68" s="3">
        <f>2510</f>
        <v>2510</v>
      </c>
      <c r="G68" s="3">
        <f>1977</f>
        <v>1977</v>
      </c>
      <c r="H68" s="3">
        <f>(2510+1977)</f>
        <v>4487</v>
      </c>
      <c r="I68" s="3">
        <f>((14133+0+0)-(2510+1977))</f>
        <v>9646</v>
      </c>
    </row>
    <row r="69" spans="1:9" ht="14" x14ac:dyDescent="0.3">
      <c r="A69" s="2" t="s">
        <v>15</v>
      </c>
      <c r="B69" s="3">
        <f>202165</f>
        <v>202165</v>
      </c>
      <c r="C69" s="3">
        <f>0</f>
        <v>0</v>
      </c>
      <c r="D69" s="3">
        <f>0</f>
        <v>0</v>
      </c>
      <c r="E69" s="3">
        <f>(202165+0+0)</f>
        <v>202165</v>
      </c>
      <c r="F69" s="3">
        <f>0</f>
        <v>0</v>
      </c>
      <c r="G69" s="3">
        <f>38302</f>
        <v>38302</v>
      </c>
      <c r="H69" s="3">
        <f>(0+38302)</f>
        <v>38302</v>
      </c>
      <c r="I69" s="3">
        <f>((202165+0+0)-(0+38302))</f>
        <v>163863</v>
      </c>
    </row>
    <row r="70" spans="1:9" ht="14" x14ac:dyDescent="0.3">
      <c r="A70" s="2" t="s">
        <v>16</v>
      </c>
      <c r="B70" s="3">
        <f>10611</f>
        <v>10611</v>
      </c>
      <c r="C70" s="3">
        <f>0</f>
        <v>0</v>
      </c>
      <c r="D70" s="3">
        <f>0</f>
        <v>0</v>
      </c>
      <c r="E70" s="3">
        <f>(10611+0+0)</f>
        <v>10611</v>
      </c>
      <c r="F70" s="3">
        <f>0</f>
        <v>0</v>
      </c>
      <c r="G70" s="3">
        <f>0</f>
        <v>0</v>
      </c>
      <c r="H70" s="3">
        <f>(0+0)</f>
        <v>0</v>
      </c>
      <c r="I70" s="3">
        <f>((10611+0+0)-(0+0))</f>
        <v>10611</v>
      </c>
    </row>
    <row r="71" spans="1:9" ht="14" x14ac:dyDescent="0.3">
      <c r="A71" s="2" t="s">
        <v>17</v>
      </c>
      <c r="B71" s="3">
        <f>59</f>
        <v>59</v>
      </c>
      <c r="C71" s="3">
        <f>0</f>
        <v>0</v>
      </c>
      <c r="D71" s="3">
        <f>0</f>
        <v>0</v>
      </c>
      <c r="E71" s="3">
        <f>(59+0+0)</f>
        <v>59</v>
      </c>
      <c r="F71" s="3">
        <f>0</f>
        <v>0</v>
      </c>
      <c r="G71" s="3">
        <f>0</f>
        <v>0</v>
      </c>
      <c r="H71" s="3">
        <f>(0+0)</f>
        <v>0</v>
      </c>
      <c r="I71" s="3">
        <f>((59+0+0)-(0+0))</f>
        <v>59</v>
      </c>
    </row>
    <row r="72" spans="1:9" ht="14" x14ac:dyDescent="0.3">
      <c r="A72" s="2" t="s">
        <v>18</v>
      </c>
      <c r="B72" s="3">
        <f>1356</f>
        <v>1356</v>
      </c>
      <c r="C72" s="3">
        <f>0</f>
        <v>0</v>
      </c>
      <c r="D72" s="3">
        <f>0</f>
        <v>0</v>
      </c>
      <c r="E72" s="3">
        <f>(1356+0+0)</f>
        <v>1356</v>
      </c>
      <c r="F72" s="3">
        <f>0</f>
        <v>0</v>
      </c>
      <c r="G72" s="3">
        <f>3204</f>
        <v>3204</v>
      </c>
      <c r="H72" s="3">
        <f>(0+3204)</f>
        <v>3204</v>
      </c>
      <c r="I72" s="3">
        <f>((1356+0+0)-(0+3204))</f>
        <v>-1848</v>
      </c>
    </row>
    <row r="73" spans="1:9" ht="14" x14ac:dyDescent="0.3">
      <c r="A73" s="2" t="s">
        <v>19</v>
      </c>
      <c r="B73" s="3">
        <f>25516</f>
        <v>25516</v>
      </c>
      <c r="C73" s="3">
        <f>0</f>
        <v>0</v>
      </c>
      <c r="D73" s="3">
        <f>0</f>
        <v>0</v>
      </c>
      <c r="E73" s="3">
        <f>(25516+0+0)</f>
        <v>25516</v>
      </c>
      <c r="F73" s="3">
        <f>0</f>
        <v>0</v>
      </c>
      <c r="G73" s="3">
        <f>32498</f>
        <v>32498</v>
      </c>
      <c r="H73" s="3">
        <f>(0+32498)</f>
        <v>32498</v>
      </c>
      <c r="I73" s="3">
        <f>((25516+0+0)-(0+32498))</f>
        <v>-6982</v>
      </c>
    </row>
    <row r="74" spans="1:9" ht="14" x14ac:dyDescent="0.3">
      <c r="A74" s="2" t="s">
        <v>20</v>
      </c>
      <c r="B74" s="3">
        <f>7072</f>
        <v>7072</v>
      </c>
      <c r="C74" s="3">
        <f>0</f>
        <v>0</v>
      </c>
      <c r="D74" s="3">
        <f>0</f>
        <v>0</v>
      </c>
      <c r="E74" s="3">
        <f>(7072+0+0)</f>
        <v>7072</v>
      </c>
      <c r="F74" s="3">
        <f>0</f>
        <v>0</v>
      </c>
      <c r="G74" s="3">
        <f>6245</f>
        <v>6245</v>
      </c>
      <c r="H74" s="3">
        <f>(0+6245)</f>
        <v>6245</v>
      </c>
      <c r="I74" s="3">
        <f>((7072+0+0)-(0+6245))</f>
        <v>827</v>
      </c>
    </row>
    <row r="75" spans="1:9" ht="14" x14ac:dyDescent="0.3">
      <c r="A75" s="2" t="s">
        <v>21</v>
      </c>
      <c r="B75" s="3">
        <f>0</f>
        <v>0</v>
      </c>
      <c r="C75" s="3">
        <f>0</f>
        <v>0</v>
      </c>
      <c r="D75" s="3">
        <f>0</f>
        <v>0</v>
      </c>
      <c r="E75" s="3">
        <f>(0+0+0)</f>
        <v>0</v>
      </c>
      <c r="F75" s="3">
        <f>0</f>
        <v>0</v>
      </c>
      <c r="G75" s="3">
        <f>0</f>
        <v>0</v>
      </c>
      <c r="H75" s="3">
        <f>(0+0)</f>
        <v>0</v>
      </c>
      <c r="I75" s="3">
        <f>((0+0+0)-(0+0))</f>
        <v>0</v>
      </c>
    </row>
    <row r="76" spans="1:9" ht="14" x14ac:dyDescent="0.3">
      <c r="A76" s="2" t="s">
        <v>22</v>
      </c>
      <c r="B76" s="3">
        <f>64731</f>
        <v>64731</v>
      </c>
      <c r="C76" s="3">
        <f>0</f>
        <v>0</v>
      </c>
      <c r="D76" s="3">
        <f>0</f>
        <v>0</v>
      </c>
      <c r="E76" s="3">
        <f>(64731+0+0)</f>
        <v>64731</v>
      </c>
      <c r="F76" s="3">
        <f>16380</f>
        <v>16380</v>
      </c>
      <c r="G76" s="3">
        <f>368861</f>
        <v>368861</v>
      </c>
      <c r="H76" s="3">
        <f>(16380+368861)</f>
        <v>385241</v>
      </c>
      <c r="I76" s="3">
        <f>((64731+0+0)-(16380+368861))</f>
        <v>-320510</v>
      </c>
    </row>
    <row r="77" spans="1:9" ht="14" x14ac:dyDescent="0.3">
      <c r="A77" s="2" t="s">
        <v>23</v>
      </c>
      <c r="B77" s="3">
        <f>9517</f>
        <v>9517</v>
      </c>
      <c r="C77" s="3">
        <f>0</f>
        <v>0</v>
      </c>
      <c r="D77" s="3">
        <f>0</f>
        <v>0</v>
      </c>
      <c r="E77" s="3">
        <f>(9517+0+0)</f>
        <v>9517</v>
      </c>
      <c r="F77" s="3">
        <f>0</f>
        <v>0</v>
      </c>
      <c r="G77" s="3">
        <f>41228</f>
        <v>41228</v>
      </c>
      <c r="H77" s="3">
        <f>(0+41228)</f>
        <v>41228</v>
      </c>
      <c r="I77" s="3">
        <f>((9517+0+0)-(0+41228))</f>
        <v>-31711</v>
      </c>
    </row>
    <row r="78" spans="1:9" ht="14" x14ac:dyDescent="0.3">
      <c r="A78" s="2" t="s">
        <v>24</v>
      </c>
      <c r="B78" s="3">
        <f>25214</f>
        <v>25214</v>
      </c>
      <c r="C78" s="3">
        <f>0</f>
        <v>0</v>
      </c>
      <c r="D78" s="3">
        <f>0</f>
        <v>0</v>
      </c>
      <c r="E78" s="3">
        <f>(25214+0+0)</f>
        <v>25214</v>
      </c>
      <c r="F78" s="3">
        <f>0</f>
        <v>0</v>
      </c>
      <c r="G78" s="3">
        <f>36062</f>
        <v>36062</v>
      </c>
      <c r="H78" s="3">
        <f>(0+36062)</f>
        <v>36062</v>
      </c>
      <c r="I78" s="3">
        <f>((25214+0+0)-(0+36062))</f>
        <v>-10848</v>
      </c>
    </row>
    <row r="79" spans="1:9" ht="14" x14ac:dyDescent="0.3">
      <c r="A79" s="2" t="s">
        <v>25</v>
      </c>
      <c r="B79" s="3">
        <f>70254</f>
        <v>70254</v>
      </c>
      <c r="C79" s="3">
        <f>0</f>
        <v>0</v>
      </c>
      <c r="D79" s="3">
        <f>0</f>
        <v>0</v>
      </c>
      <c r="E79" s="3">
        <f>(70254+0+0)</f>
        <v>70254</v>
      </c>
      <c r="F79" s="3">
        <f>0</f>
        <v>0</v>
      </c>
      <c r="G79" s="3">
        <f>0</f>
        <v>0</v>
      </c>
      <c r="H79" s="3">
        <f>(0+0)</f>
        <v>0</v>
      </c>
      <c r="I79" s="3">
        <f>((70254+0+0)-(0+0))</f>
        <v>70254</v>
      </c>
    </row>
    <row r="80" spans="1:9" ht="14" x14ac:dyDescent="0.3">
      <c r="A80" s="2" t="s">
        <v>26</v>
      </c>
      <c r="B80" s="3">
        <f>138473</f>
        <v>138473</v>
      </c>
      <c r="C80" s="3">
        <f>0</f>
        <v>0</v>
      </c>
      <c r="D80" s="3">
        <f>0</f>
        <v>0</v>
      </c>
      <c r="E80" s="3">
        <f>(138473+0+0)</f>
        <v>138473</v>
      </c>
      <c r="F80" s="3">
        <f>0</f>
        <v>0</v>
      </c>
      <c r="G80" s="3">
        <f>7762</f>
        <v>7762</v>
      </c>
      <c r="H80" s="3">
        <f>(0+7762)</f>
        <v>7762</v>
      </c>
      <c r="I80" s="3">
        <f>((138473+0+0)-(0+7762))</f>
        <v>130711</v>
      </c>
    </row>
    <row r="81" spans="1:9" ht="14" x14ac:dyDescent="0.3">
      <c r="A81" s="5" t="s">
        <v>30</v>
      </c>
      <c r="B81" s="5"/>
      <c r="C81" s="5"/>
      <c r="D81" s="5"/>
      <c r="E81" s="5"/>
      <c r="F81" s="5"/>
      <c r="G81" s="5"/>
      <c r="H81" s="5"/>
      <c r="I81" s="5"/>
    </row>
    <row r="82" spans="1:9" ht="14" x14ac:dyDescent="0.3">
      <c r="A82" s="4" t="s">
        <v>1</v>
      </c>
      <c r="B82" s="1" t="s">
        <v>2</v>
      </c>
      <c r="C82" s="1" t="s">
        <v>3</v>
      </c>
      <c r="D82" s="1" t="s">
        <v>4</v>
      </c>
      <c r="E82" s="1" t="s">
        <v>5</v>
      </c>
      <c r="F82" s="1" t="s">
        <v>6</v>
      </c>
      <c r="G82" s="1" t="s">
        <v>7</v>
      </c>
      <c r="H82" s="1" t="s">
        <v>8</v>
      </c>
      <c r="I82" s="1" t="s">
        <v>9</v>
      </c>
    </row>
    <row r="83" spans="1:9" ht="14" x14ac:dyDescent="0.3">
      <c r="A83" s="4"/>
      <c r="B83" s="1">
        <v>2023</v>
      </c>
      <c r="C83" s="1">
        <v>2023</v>
      </c>
      <c r="D83" s="1">
        <v>2023</v>
      </c>
      <c r="E83" s="1">
        <v>2023</v>
      </c>
      <c r="F83" s="1">
        <v>2023</v>
      </c>
      <c r="G83" s="1">
        <v>2023</v>
      </c>
      <c r="H83" s="1">
        <v>2023</v>
      </c>
      <c r="I83" s="1">
        <v>2023</v>
      </c>
    </row>
    <row r="84" spans="1:9" ht="14" x14ac:dyDescent="0.3">
      <c r="A84" s="2" t="s">
        <v>10</v>
      </c>
      <c r="B84" s="3">
        <f>(0+575)</f>
        <v>575</v>
      </c>
      <c r="C84" s="3">
        <f t="shared" ref="C84:D100" si="1">(0+0)</f>
        <v>0</v>
      </c>
      <c r="D84" s="3">
        <f t="shared" si="1"/>
        <v>0</v>
      </c>
      <c r="E84" s="3">
        <f>((0+575)+(0+0)+(0+0))</f>
        <v>575</v>
      </c>
      <c r="F84" s="3">
        <f t="shared" ref="F84:F100" si="2">(0+0)</f>
        <v>0</v>
      </c>
      <c r="G84" s="3">
        <f>(77+702)</f>
        <v>779</v>
      </c>
      <c r="H84" s="3">
        <f>((0+0)+(77+702))</f>
        <v>779</v>
      </c>
      <c r="I84" s="3">
        <f>(((0+575)+(0+0)+(0+0))-((0+0)+(77+702)))</f>
        <v>-204</v>
      </c>
    </row>
    <row r="85" spans="1:9" ht="14" x14ac:dyDescent="0.3">
      <c r="A85" s="2" t="s">
        <v>11</v>
      </c>
      <c r="B85" s="3">
        <f>(299733+152831)</f>
        <v>452564</v>
      </c>
      <c r="C85" s="3">
        <f t="shared" si="1"/>
        <v>0</v>
      </c>
      <c r="D85" s="3">
        <f t="shared" si="1"/>
        <v>0</v>
      </c>
      <c r="E85" s="3">
        <f>((299733+152831)+(0+0)+(0+0))</f>
        <v>452564</v>
      </c>
      <c r="F85" s="3">
        <f t="shared" si="2"/>
        <v>0</v>
      </c>
      <c r="G85" s="3">
        <f>(1238+24852)</f>
        <v>26090</v>
      </c>
      <c r="H85" s="3">
        <f>((0+0)+(1238+24852))</f>
        <v>26090</v>
      </c>
      <c r="I85" s="3">
        <f>(((299733+152831)+(0+0)+(0+0))-((0+0)+(1238+24852)))</f>
        <v>426474</v>
      </c>
    </row>
    <row r="86" spans="1:9" ht="14" x14ac:dyDescent="0.3">
      <c r="A86" s="2" t="s">
        <v>12</v>
      </c>
      <c r="B86" s="3">
        <f>(8343+80569)</f>
        <v>88912</v>
      </c>
      <c r="C86" s="3">
        <f t="shared" si="1"/>
        <v>0</v>
      </c>
      <c r="D86" s="3">
        <f t="shared" si="1"/>
        <v>0</v>
      </c>
      <c r="E86" s="3">
        <f>((8343+80569)+(0+0)+(0+0))</f>
        <v>88912</v>
      </c>
      <c r="F86" s="3">
        <f t="shared" si="2"/>
        <v>0</v>
      </c>
      <c r="G86" s="3">
        <f>(10042+244266)</f>
        <v>254308</v>
      </c>
      <c r="H86" s="3">
        <f>((0+0)+(10042+244266))</f>
        <v>254308</v>
      </c>
      <c r="I86" s="3">
        <f>(((8343+80569)+(0+0)+(0+0))-((0+0)+(10042+244266)))</f>
        <v>-165396</v>
      </c>
    </row>
    <row r="87" spans="1:9" ht="14" x14ac:dyDescent="0.3">
      <c r="A87" s="2" t="s">
        <v>13</v>
      </c>
      <c r="B87" s="3">
        <f>(0+0)</f>
        <v>0</v>
      </c>
      <c r="C87" s="3">
        <f t="shared" si="1"/>
        <v>0</v>
      </c>
      <c r="D87" s="3">
        <f t="shared" si="1"/>
        <v>0</v>
      </c>
      <c r="E87" s="3">
        <f>((0+0)+(0+0)+(0+0))</f>
        <v>0</v>
      </c>
      <c r="F87" s="3">
        <f t="shared" si="2"/>
        <v>0</v>
      </c>
      <c r="G87" s="3">
        <f>(0+0)</f>
        <v>0</v>
      </c>
      <c r="H87" s="3">
        <f>((0+0)+(0+0))</f>
        <v>0</v>
      </c>
      <c r="I87" s="3">
        <f>(((0+0)+(0+0)+(0+0))-((0+0)+(0+0)))</f>
        <v>0</v>
      </c>
    </row>
    <row r="88" spans="1:9" ht="14" x14ac:dyDescent="0.3">
      <c r="A88" s="2" t="s">
        <v>14</v>
      </c>
      <c r="B88" s="3">
        <f>(166510+442852)</f>
        <v>609362</v>
      </c>
      <c r="C88" s="3">
        <f t="shared" si="1"/>
        <v>0</v>
      </c>
      <c r="D88" s="3">
        <f t="shared" si="1"/>
        <v>0</v>
      </c>
      <c r="E88" s="3">
        <f>((166510+442852)+(0+0)+(0+0))</f>
        <v>609362</v>
      </c>
      <c r="F88" s="3">
        <f t="shared" si="2"/>
        <v>0</v>
      </c>
      <c r="G88" s="3">
        <f>(13424+62667)</f>
        <v>76091</v>
      </c>
      <c r="H88" s="3">
        <f>((0+0)+(13424+62667))</f>
        <v>76091</v>
      </c>
      <c r="I88" s="3">
        <f>(((166510+442852)+(0+0)+(0+0))-((0+0)+(13424+62667)))</f>
        <v>533271</v>
      </c>
    </row>
    <row r="89" spans="1:9" ht="14" x14ac:dyDescent="0.3">
      <c r="A89" s="2" t="s">
        <v>15</v>
      </c>
      <c r="B89" s="3">
        <f>(0+48096)</f>
        <v>48096</v>
      </c>
      <c r="C89" s="3">
        <f t="shared" si="1"/>
        <v>0</v>
      </c>
      <c r="D89" s="3">
        <f t="shared" si="1"/>
        <v>0</v>
      </c>
      <c r="E89" s="3">
        <f>((0+48096)+(0+0)+(0+0))</f>
        <v>48096</v>
      </c>
      <c r="F89" s="3">
        <f t="shared" si="2"/>
        <v>0</v>
      </c>
      <c r="G89" s="3">
        <f>(0+77945)</f>
        <v>77945</v>
      </c>
      <c r="H89" s="3">
        <f>((0+0)+(0+77945))</f>
        <v>77945</v>
      </c>
      <c r="I89" s="3">
        <f>(((0+48096)+(0+0)+(0+0))-((0+0)+(0+77945)))</f>
        <v>-29849</v>
      </c>
    </row>
    <row r="90" spans="1:9" ht="14" x14ac:dyDescent="0.3">
      <c r="A90" s="2" t="s">
        <v>16</v>
      </c>
      <c r="B90" s="3">
        <f>(8455+68405)</f>
        <v>76860</v>
      </c>
      <c r="C90" s="3">
        <f t="shared" si="1"/>
        <v>0</v>
      </c>
      <c r="D90" s="3">
        <f t="shared" si="1"/>
        <v>0</v>
      </c>
      <c r="E90" s="3">
        <f>((8455+68405)+(0+0)+(0+0))</f>
        <v>76860</v>
      </c>
      <c r="F90" s="3">
        <f t="shared" si="2"/>
        <v>0</v>
      </c>
      <c r="G90" s="3">
        <f>(0+0)</f>
        <v>0</v>
      </c>
      <c r="H90" s="3">
        <f>((0+0)+(0+0))</f>
        <v>0</v>
      </c>
      <c r="I90" s="3">
        <f>(((8455+68405)+(0+0)+(0+0))-((0+0)+(0+0)))</f>
        <v>76860</v>
      </c>
    </row>
    <row r="91" spans="1:9" ht="14" x14ac:dyDescent="0.3">
      <c r="A91" s="2" t="s">
        <v>17</v>
      </c>
      <c r="B91" s="3">
        <f>(0+0)</f>
        <v>0</v>
      </c>
      <c r="C91" s="3">
        <f t="shared" si="1"/>
        <v>0</v>
      </c>
      <c r="D91" s="3">
        <f t="shared" si="1"/>
        <v>0</v>
      </c>
      <c r="E91" s="3">
        <f>((0+0)+(0+0)+(0+0))</f>
        <v>0</v>
      </c>
      <c r="F91" s="3">
        <f t="shared" si="2"/>
        <v>0</v>
      </c>
      <c r="G91" s="3">
        <f>(0+0)</f>
        <v>0</v>
      </c>
      <c r="H91" s="3">
        <f>((0+0)+(0+0))</f>
        <v>0</v>
      </c>
      <c r="I91" s="3">
        <f>(((0+0)+(0+0)+(0+0))-((0+0)+(0+0)))</f>
        <v>0</v>
      </c>
    </row>
    <row r="92" spans="1:9" ht="14" x14ac:dyDescent="0.3">
      <c r="A92" s="2" t="s">
        <v>18</v>
      </c>
      <c r="B92" s="3">
        <f>(0+0)</f>
        <v>0</v>
      </c>
      <c r="C92" s="3">
        <f t="shared" si="1"/>
        <v>0</v>
      </c>
      <c r="D92" s="3">
        <f t="shared" si="1"/>
        <v>0</v>
      </c>
      <c r="E92" s="3">
        <f>((0+0)+(0+0)+(0+0))</f>
        <v>0</v>
      </c>
      <c r="F92" s="3">
        <f t="shared" si="2"/>
        <v>0</v>
      </c>
      <c r="G92" s="3">
        <f>(0+0)</f>
        <v>0</v>
      </c>
      <c r="H92" s="3">
        <f>((0+0)+(0+0))</f>
        <v>0</v>
      </c>
      <c r="I92" s="3">
        <f>(((0+0)+(0+0)+(0+0))-((0+0)+(0+0)))</f>
        <v>0</v>
      </c>
    </row>
    <row r="93" spans="1:9" ht="14" x14ac:dyDescent="0.3">
      <c r="A93" s="2" t="s">
        <v>19</v>
      </c>
      <c r="B93" s="3">
        <f>(2149657+23706)</f>
        <v>2173363</v>
      </c>
      <c r="C93" s="3">
        <f t="shared" si="1"/>
        <v>0</v>
      </c>
      <c r="D93" s="3">
        <f t="shared" si="1"/>
        <v>0</v>
      </c>
      <c r="E93" s="3">
        <f>((2149657+23706)+(0+0)+(0+0))</f>
        <v>2173363</v>
      </c>
      <c r="F93" s="3">
        <f t="shared" si="2"/>
        <v>0</v>
      </c>
      <c r="G93" s="3">
        <f>(1782018+8140)</f>
        <v>1790158</v>
      </c>
      <c r="H93" s="3">
        <f>((0+0)+(1782018+8140))</f>
        <v>1790158</v>
      </c>
      <c r="I93" s="3">
        <f>(((2149657+23706)+(0+0)+(0+0))-((0+0)+(1782018+8140)))</f>
        <v>383205</v>
      </c>
    </row>
    <row r="94" spans="1:9" ht="14" x14ac:dyDescent="0.3">
      <c r="A94" s="2" t="s">
        <v>20</v>
      </c>
      <c r="B94" s="3">
        <f>(72339+3219)</f>
        <v>75558</v>
      </c>
      <c r="C94" s="3">
        <f t="shared" si="1"/>
        <v>0</v>
      </c>
      <c r="D94" s="3">
        <f t="shared" si="1"/>
        <v>0</v>
      </c>
      <c r="E94" s="3">
        <f>((72339+3219)+(0+0)+(0+0))</f>
        <v>75558</v>
      </c>
      <c r="F94" s="3">
        <f t="shared" si="2"/>
        <v>0</v>
      </c>
      <c r="G94" s="3">
        <f>(0+0)</f>
        <v>0</v>
      </c>
      <c r="H94" s="3">
        <f>((0+0)+(0+0))</f>
        <v>0</v>
      </c>
      <c r="I94" s="3">
        <f>(((72339+3219)+(0+0)+(0+0))-((0+0)+(0+0)))</f>
        <v>75558</v>
      </c>
    </row>
    <row r="95" spans="1:9" ht="14" x14ac:dyDescent="0.3">
      <c r="A95" s="2" t="s">
        <v>21</v>
      </c>
      <c r="B95" s="3">
        <f>(0+0)</f>
        <v>0</v>
      </c>
      <c r="C95" s="3">
        <f t="shared" si="1"/>
        <v>0</v>
      </c>
      <c r="D95" s="3">
        <f t="shared" si="1"/>
        <v>0</v>
      </c>
      <c r="E95" s="3">
        <f>((0+0)+(0+0)+(0+0))</f>
        <v>0</v>
      </c>
      <c r="F95" s="3">
        <f t="shared" si="2"/>
        <v>0</v>
      </c>
      <c r="G95" s="3">
        <f>(0+0)</f>
        <v>0</v>
      </c>
      <c r="H95" s="3">
        <f>((0+0)+(0+0))</f>
        <v>0</v>
      </c>
      <c r="I95" s="3">
        <f>(((0+0)+(0+0)+(0+0))-((0+0)+(0+0)))</f>
        <v>0</v>
      </c>
    </row>
    <row r="96" spans="1:9" ht="14" x14ac:dyDescent="0.3">
      <c r="A96" s="2" t="s">
        <v>22</v>
      </c>
      <c r="B96" s="3">
        <f>(653758+1096743)</f>
        <v>1750501</v>
      </c>
      <c r="C96" s="3">
        <f t="shared" si="1"/>
        <v>0</v>
      </c>
      <c r="D96" s="3">
        <f t="shared" si="1"/>
        <v>0</v>
      </c>
      <c r="E96" s="3">
        <f>((653758+1096743)+(0+0)+(0+0))</f>
        <v>1750501</v>
      </c>
      <c r="F96" s="3">
        <f t="shared" si="2"/>
        <v>0</v>
      </c>
      <c r="G96" s="3">
        <f>(739097+1239908)</f>
        <v>1979005</v>
      </c>
      <c r="H96" s="3">
        <f>((0+0)+(739097+1239908))</f>
        <v>1979005</v>
      </c>
      <c r="I96" s="3">
        <f>(((653758+1096743)+(0+0)+(0+0))-((0+0)+(739097+1239908)))</f>
        <v>-228504</v>
      </c>
    </row>
    <row r="97" spans="1:9" ht="14" x14ac:dyDescent="0.3">
      <c r="A97" s="2" t="s">
        <v>23</v>
      </c>
      <c r="B97" s="3">
        <f>(0+20463)</f>
        <v>20463</v>
      </c>
      <c r="C97" s="3">
        <f t="shared" si="1"/>
        <v>0</v>
      </c>
      <c r="D97" s="3">
        <f t="shared" si="1"/>
        <v>0</v>
      </c>
      <c r="E97" s="3">
        <f>((0+20463)+(0+0)+(0+0))</f>
        <v>20463</v>
      </c>
      <c r="F97" s="3">
        <f t="shared" si="2"/>
        <v>0</v>
      </c>
      <c r="G97" s="3">
        <f>(0+1590)</f>
        <v>1590</v>
      </c>
      <c r="H97" s="3">
        <f>((0+0)+(0+1590))</f>
        <v>1590</v>
      </c>
      <c r="I97" s="3">
        <f>(((0+20463)+(0+0)+(0+0))-((0+0)+(0+1590)))</f>
        <v>18873</v>
      </c>
    </row>
    <row r="98" spans="1:9" ht="14" x14ac:dyDescent="0.3">
      <c r="A98" s="2" t="s">
        <v>24</v>
      </c>
      <c r="B98" s="3">
        <f>(1213+3444)</f>
        <v>4657</v>
      </c>
      <c r="C98" s="3">
        <f t="shared" si="1"/>
        <v>0</v>
      </c>
      <c r="D98" s="3">
        <f t="shared" si="1"/>
        <v>0</v>
      </c>
      <c r="E98" s="3">
        <f>((1213+3444)+(0+0)+(0+0))</f>
        <v>4657</v>
      </c>
      <c r="F98" s="3">
        <f t="shared" si="2"/>
        <v>0</v>
      </c>
      <c r="G98" s="3">
        <f>(8646+85009)</f>
        <v>93655</v>
      </c>
      <c r="H98" s="3">
        <f>((0+0)+(8646+85009))</f>
        <v>93655</v>
      </c>
      <c r="I98" s="3">
        <f>(((1213+3444)+(0+0)+(0+0))-((0+0)+(8646+85009)))</f>
        <v>-88998</v>
      </c>
    </row>
    <row r="99" spans="1:9" ht="14" x14ac:dyDescent="0.3">
      <c r="A99" s="2" t="s">
        <v>25</v>
      </c>
      <c r="B99" s="3">
        <f>(11638+21031)</f>
        <v>32669</v>
      </c>
      <c r="C99" s="3">
        <f t="shared" si="1"/>
        <v>0</v>
      </c>
      <c r="D99" s="3">
        <f t="shared" si="1"/>
        <v>0</v>
      </c>
      <c r="E99" s="3">
        <f>((11638+21031)+(0+0)+(0+0))</f>
        <v>32669</v>
      </c>
      <c r="F99" s="3">
        <f t="shared" si="2"/>
        <v>0</v>
      </c>
      <c r="G99" s="3">
        <f>(0+0)</f>
        <v>0</v>
      </c>
      <c r="H99" s="3">
        <f>((0+0)+(0+0))</f>
        <v>0</v>
      </c>
      <c r="I99" s="3">
        <f>(((11638+21031)+(0+0)+(0+0))-((0+0)+(0+0)))</f>
        <v>32669</v>
      </c>
    </row>
    <row r="100" spans="1:9" ht="14" x14ac:dyDescent="0.3">
      <c r="A100" s="2" t="s">
        <v>26</v>
      </c>
      <c r="B100" s="3">
        <f>(2148730+0)</f>
        <v>2148730</v>
      </c>
      <c r="C100" s="3">
        <f t="shared" si="1"/>
        <v>0</v>
      </c>
      <c r="D100" s="3">
        <f t="shared" si="1"/>
        <v>0</v>
      </c>
      <c r="E100" s="3">
        <f>((2148730+0)+(0+0)+(0+0))</f>
        <v>2148730</v>
      </c>
      <c r="F100" s="3">
        <f t="shared" si="2"/>
        <v>0</v>
      </c>
      <c r="G100" s="3">
        <f>(234440+0)</f>
        <v>234440</v>
      </c>
      <c r="H100" s="3">
        <f>((0+0)+(234440+0))</f>
        <v>234440</v>
      </c>
      <c r="I100" s="3">
        <f>(((2148730+0)+(0+0)+(0+0))-((0+0)+(234440+0)))</f>
        <v>1914290</v>
      </c>
    </row>
    <row r="101" spans="1:9" ht="14" x14ac:dyDescent="0.3">
      <c r="A101" s="5" t="s">
        <v>31</v>
      </c>
      <c r="B101" s="5"/>
      <c r="C101" s="5"/>
      <c r="D101" s="5"/>
      <c r="E101" s="5"/>
      <c r="F101" s="5"/>
      <c r="G101" s="5"/>
      <c r="H101" s="5"/>
      <c r="I101" s="5"/>
    </row>
    <row r="102" spans="1:9" ht="14" x14ac:dyDescent="0.3">
      <c r="A102" s="4" t="s">
        <v>1</v>
      </c>
      <c r="B102" s="1" t="s">
        <v>2</v>
      </c>
      <c r="C102" s="1" t="s">
        <v>3</v>
      </c>
      <c r="D102" s="1" t="s">
        <v>4</v>
      </c>
      <c r="E102" s="1" t="s">
        <v>5</v>
      </c>
      <c r="F102" s="1" t="s">
        <v>6</v>
      </c>
      <c r="G102" s="1" t="s">
        <v>7</v>
      </c>
      <c r="H102" s="1" t="s">
        <v>8</v>
      </c>
      <c r="I102" s="1" t="s">
        <v>9</v>
      </c>
    </row>
    <row r="103" spans="1:9" ht="14" x14ac:dyDescent="0.3">
      <c r="A103" s="4"/>
      <c r="B103" s="1">
        <v>2023</v>
      </c>
      <c r="C103" s="1">
        <v>2023</v>
      </c>
      <c r="D103" s="1">
        <v>2023</v>
      </c>
      <c r="E103" s="1">
        <v>2023</v>
      </c>
      <c r="F103" s="1">
        <v>2023</v>
      </c>
      <c r="G103" s="1">
        <v>2023</v>
      </c>
      <c r="H103" s="1">
        <v>2023</v>
      </c>
      <c r="I103" s="1">
        <v>2023</v>
      </c>
    </row>
    <row r="104" spans="1:9" ht="14" x14ac:dyDescent="0.3">
      <c r="A104" s="2" t="s">
        <v>10</v>
      </c>
      <c r="B104" s="3">
        <f>0</f>
        <v>0</v>
      </c>
      <c r="C104" s="3">
        <f>0</f>
        <v>0</v>
      </c>
      <c r="D104" s="3">
        <f>0</f>
        <v>0</v>
      </c>
      <c r="E104" s="3">
        <f>(0+0+0)</f>
        <v>0</v>
      </c>
      <c r="F104" s="3">
        <f>0</f>
        <v>0</v>
      </c>
      <c r="G104" s="3">
        <f>77</f>
        <v>77</v>
      </c>
      <c r="H104" s="3">
        <f>(0+77)</f>
        <v>77</v>
      </c>
      <c r="I104" s="3">
        <f>((0+0+0)-(0+77))</f>
        <v>-77</v>
      </c>
    </row>
    <row r="105" spans="1:9" ht="14" x14ac:dyDescent="0.3">
      <c r="A105" s="2" t="s">
        <v>11</v>
      </c>
      <c r="B105" s="3">
        <f>299733</f>
        <v>299733</v>
      </c>
      <c r="C105" s="3">
        <f>0</f>
        <v>0</v>
      </c>
      <c r="D105" s="3">
        <f>0</f>
        <v>0</v>
      </c>
      <c r="E105" s="3">
        <f>(299733+0+0)</f>
        <v>299733</v>
      </c>
      <c r="F105" s="3">
        <f>0</f>
        <v>0</v>
      </c>
      <c r="G105" s="3">
        <f>1238</f>
        <v>1238</v>
      </c>
      <c r="H105" s="3">
        <f>(0+1238)</f>
        <v>1238</v>
      </c>
      <c r="I105" s="3">
        <f>((299733+0+0)-(0+1238))</f>
        <v>298495</v>
      </c>
    </row>
    <row r="106" spans="1:9" ht="14" x14ac:dyDescent="0.3">
      <c r="A106" s="2" t="s">
        <v>12</v>
      </c>
      <c r="B106" s="3">
        <f>8343</f>
        <v>8343</v>
      </c>
      <c r="C106" s="3">
        <f>0</f>
        <v>0</v>
      </c>
      <c r="D106" s="3">
        <f>0</f>
        <v>0</v>
      </c>
      <c r="E106" s="3">
        <f>(8343+0+0)</f>
        <v>8343</v>
      </c>
      <c r="F106" s="3">
        <f>0</f>
        <v>0</v>
      </c>
      <c r="G106" s="3">
        <f>10042</f>
        <v>10042</v>
      </c>
      <c r="H106" s="3">
        <f>(0+10042)</f>
        <v>10042</v>
      </c>
      <c r="I106" s="3">
        <f>((8343+0+0)-(0+10042))</f>
        <v>-1699</v>
      </c>
    </row>
    <row r="107" spans="1:9" ht="14" x14ac:dyDescent="0.3">
      <c r="A107" s="2" t="s">
        <v>13</v>
      </c>
      <c r="B107" s="3">
        <f>0</f>
        <v>0</v>
      </c>
      <c r="C107" s="3">
        <f>0</f>
        <v>0</v>
      </c>
      <c r="D107" s="3">
        <f>0</f>
        <v>0</v>
      </c>
      <c r="E107" s="3">
        <f>(0+0+0)</f>
        <v>0</v>
      </c>
      <c r="F107" s="3">
        <f>0</f>
        <v>0</v>
      </c>
      <c r="G107" s="3">
        <f>0</f>
        <v>0</v>
      </c>
      <c r="H107" s="3">
        <f>(0+0)</f>
        <v>0</v>
      </c>
      <c r="I107" s="3">
        <f>((0+0+0)-(0+0))</f>
        <v>0</v>
      </c>
    </row>
    <row r="108" spans="1:9" ht="14" x14ac:dyDescent="0.3">
      <c r="A108" s="2" t="s">
        <v>14</v>
      </c>
      <c r="B108" s="3">
        <f>166510</f>
        <v>166510</v>
      </c>
      <c r="C108" s="3">
        <f>0</f>
        <v>0</v>
      </c>
      <c r="D108" s="3">
        <f>0</f>
        <v>0</v>
      </c>
      <c r="E108" s="3">
        <f>(166510+0+0)</f>
        <v>166510</v>
      </c>
      <c r="F108" s="3">
        <f>0</f>
        <v>0</v>
      </c>
      <c r="G108" s="3">
        <f>13424</f>
        <v>13424</v>
      </c>
      <c r="H108" s="3">
        <f>(0+13424)</f>
        <v>13424</v>
      </c>
      <c r="I108" s="3">
        <f>((166510+0+0)-(0+13424))</f>
        <v>153086</v>
      </c>
    </row>
    <row r="109" spans="1:9" ht="14" x14ac:dyDescent="0.3">
      <c r="A109" s="2" t="s">
        <v>15</v>
      </c>
      <c r="B109" s="3">
        <f>0</f>
        <v>0</v>
      </c>
      <c r="C109" s="3">
        <f>0</f>
        <v>0</v>
      </c>
      <c r="D109" s="3">
        <f>0</f>
        <v>0</v>
      </c>
      <c r="E109" s="3">
        <f>(0+0+0)</f>
        <v>0</v>
      </c>
      <c r="F109" s="3">
        <f>0</f>
        <v>0</v>
      </c>
      <c r="G109" s="3">
        <f>0</f>
        <v>0</v>
      </c>
      <c r="H109" s="3">
        <f>(0+0)</f>
        <v>0</v>
      </c>
      <c r="I109" s="3">
        <f>((0+0+0)-(0+0))</f>
        <v>0</v>
      </c>
    </row>
    <row r="110" spans="1:9" ht="14" x14ac:dyDescent="0.3">
      <c r="A110" s="2" t="s">
        <v>16</v>
      </c>
      <c r="B110" s="3">
        <f>8455</f>
        <v>8455</v>
      </c>
      <c r="C110" s="3">
        <f>0</f>
        <v>0</v>
      </c>
      <c r="D110" s="3">
        <f>0</f>
        <v>0</v>
      </c>
      <c r="E110" s="3">
        <f>(8455+0+0)</f>
        <v>8455</v>
      </c>
      <c r="F110" s="3">
        <f>0</f>
        <v>0</v>
      </c>
      <c r="G110" s="3">
        <f>0</f>
        <v>0</v>
      </c>
      <c r="H110" s="3">
        <f>(0+0)</f>
        <v>0</v>
      </c>
      <c r="I110" s="3">
        <f>((8455+0+0)-(0+0))</f>
        <v>8455</v>
      </c>
    </row>
    <row r="111" spans="1:9" ht="14" x14ac:dyDescent="0.3">
      <c r="A111" s="2" t="s">
        <v>17</v>
      </c>
      <c r="B111" s="3">
        <f>0</f>
        <v>0</v>
      </c>
      <c r="C111" s="3">
        <f>0</f>
        <v>0</v>
      </c>
      <c r="D111" s="3">
        <f>0</f>
        <v>0</v>
      </c>
      <c r="E111" s="3">
        <f>(0+0+0)</f>
        <v>0</v>
      </c>
      <c r="F111" s="3">
        <f>0</f>
        <v>0</v>
      </c>
      <c r="G111" s="3">
        <f>0</f>
        <v>0</v>
      </c>
      <c r="H111" s="3">
        <f>(0+0)</f>
        <v>0</v>
      </c>
      <c r="I111" s="3">
        <f>((0+0+0)-(0+0))</f>
        <v>0</v>
      </c>
    </row>
    <row r="112" spans="1:9" ht="14" x14ac:dyDescent="0.3">
      <c r="A112" s="2" t="s">
        <v>18</v>
      </c>
      <c r="B112" s="3">
        <f>0</f>
        <v>0</v>
      </c>
      <c r="C112" s="3">
        <f>0</f>
        <v>0</v>
      </c>
      <c r="D112" s="3">
        <f>0</f>
        <v>0</v>
      </c>
      <c r="E112" s="3">
        <f>(0+0+0)</f>
        <v>0</v>
      </c>
      <c r="F112" s="3">
        <f>0</f>
        <v>0</v>
      </c>
      <c r="G112" s="3">
        <f>0</f>
        <v>0</v>
      </c>
      <c r="H112" s="3">
        <f>(0+0)</f>
        <v>0</v>
      </c>
      <c r="I112" s="3">
        <f>((0+0+0)-(0+0))</f>
        <v>0</v>
      </c>
    </row>
    <row r="113" spans="1:9" ht="14" x14ac:dyDescent="0.3">
      <c r="A113" s="2" t="s">
        <v>19</v>
      </c>
      <c r="B113" s="3">
        <f>2149657</f>
        <v>2149657</v>
      </c>
      <c r="C113" s="3">
        <f>0</f>
        <v>0</v>
      </c>
      <c r="D113" s="3">
        <f>0</f>
        <v>0</v>
      </c>
      <c r="E113" s="3">
        <f>(2149657+0+0)</f>
        <v>2149657</v>
      </c>
      <c r="F113" s="3">
        <f>0</f>
        <v>0</v>
      </c>
      <c r="G113" s="3">
        <f>1782018</f>
        <v>1782018</v>
      </c>
      <c r="H113" s="3">
        <f>(0+1782018)</f>
        <v>1782018</v>
      </c>
      <c r="I113" s="3">
        <f>((2149657+0+0)-(0+1782018))</f>
        <v>367639</v>
      </c>
    </row>
    <row r="114" spans="1:9" ht="14" x14ac:dyDescent="0.3">
      <c r="A114" s="2" t="s">
        <v>20</v>
      </c>
      <c r="B114" s="3">
        <f>72339</f>
        <v>72339</v>
      </c>
      <c r="C114" s="3">
        <f>0</f>
        <v>0</v>
      </c>
      <c r="D114" s="3">
        <f>0</f>
        <v>0</v>
      </c>
      <c r="E114" s="3">
        <f>(72339+0+0)</f>
        <v>72339</v>
      </c>
      <c r="F114" s="3">
        <f>0</f>
        <v>0</v>
      </c>
      <c r="G114" s="3">
        <f>0</f>
        <v>0</v>
      </c>
      <c r="H114" s="3">
        <f>(0+0)</f>
        <v>0</v>
      </c>
      <c r="I114" s="3">
        <f>((72339+0+0)-(0+0))</f>
        <v>72339</v>
      </c>
    </row>
    <row r="115" spans="1:9" ht="14" x14ac:dyDescent="0.3">
      <c r="A115" s="2" t="s">
        <v>21</v>
      </c>
      <c r="B115" s="3">
        <f>0</f>
        <v>0</v>
      </c>
      <c r="C115" s="3">
        <f>0</f>
        <v>0</v>
      </c>
      <c r="D115" s="3">
        <f>0</f>
        <v>0</v>
      </c>
      <c r="E115" s="3">
        <f>(0+0+0)</f>
        <v>0</v>
      </c>
      <c r="F115" s="3">
        <f>0</f>
        <v>0</v>
      </c>
      <c r="G115" s="3">
        <f>0</f>
        <v>0</v>
      </c>
      <c r="H115" s="3">
        <f>(0+0)</f>
        <v>0</v>
      </c>
      <c r="I115" s="3">
        <f>((0+0+0)-(0+0))</f>
        <v>0</v>
      </c>
    </row>
    <row r="116" spans="1:9" ht="14" x14ac:dyDescent="0.3">
      <c r="A116" s="2" t="s">
        <v>22</v>
      </c>
      <c r="B116" s="3">
        <f>653758</f>
        <v>653758</v>
      </c>
      <c r="C116" s="3">
        <f>0</f>
        <v>0</v>
      </c>
      <c r="D116" s="3">
        <f>0</f>
        <v>0</v>
      </c>
      <c r="E116" s="3">
        <f>(653758+0+0)</f>
        <v>653758</v>
      </c>
      <c r="F116" s="3">
        <f>0</f>
        <v>0</v>
      </c>
      <c r="G116" s="3">
        <f>739097</f>
        <v>739097</v>
      </c>
      <c r="H116" s="3">
        <f>(0+739097)</f>
        <v>739097</v>
      </c>
      <c r="I116" s="3">
        <f>((653758+0+0)-(0+739097))</f>
        <v>-85339</v>
      </c>
    </row>
    <row r="117" spans="1:9" ht="14" x14ac:dyDescent="0.3">
      <c r="A117" s="2" t="s">
        <v>23</v>
      </c>
      <c r="B117" s="3">
        <f>0</f>
        <v>0</v>
      </c>
      <c r="C117" s="3">
        <f>0</f>
        <v>0</v>
      </c>
      <c r="D117" s="3">
        <f>0</f>
        <v>0</v>
      </c>
      <c r="E117" s="3">
        <f>(0+0+0)</f>
        <v>0</v>
      </c>
      <c r="F117" s="3">
        <f>0</f>
        <v>0</v>
      </c>
      <c r="G117" s="3">
        <f>0</f>
        <v>0</v>
      </c>
      <c r="H117" s="3">
        <f>(0+0)</f>
        <v>0</v>
      </c>
      <c r="I117" s="3">
        <f>((0+0+0)-(0+0))</f>
        <v>0</v>
      </c>
    </row>
    <row r="118" spans="1:9" ht="14" x14ac:dyDescent="0.3">
      <c r="A118" s="2" t="s">
        <v>24</v>
      </c>
      <c r="B118" s="3">
        <f>1213</f>
        <v>1213</v>
      </c>
      <c r="C118" s="3">
        <f>0</f>
        <v>0</v>
      </c>
      <c r="D118" s="3">
        <f>0</f>
        <v>0</v>
      </c>
      <c r="E118" s="3">
        <f>(1213+0+0)</f>
        <v>1213</v>
      </c>
      <c r="F118" s="3">
        <f>0</f>
        <v>0</v>
      </c>
      <c r="G118" s="3">
        <f>8646</f>
        <v>8646</v>
      </c>
      <c r="H118" s="3">
        <f>(0+8646)</f>
        <v>8646</v>
      </c>
      <c r="I118" s="3">
        <f>((1213+0+0)-(0+8646))</f>
        <v>-7433</v>
      </c>
    </row>
    <row r="119" spans="1:9" ht="14" x14ac:dyDescent="0.3">
      <c r="A119" s="2" t="s">
        <v>25</v>
      </c>
      <c r="B119" s="3">
        <f>11638</f>
        <v>11638</v>
      </c>
      <c r="C119" s="3">
        <f>0</f>
        <v>0</v>
      </c>
      <c r="D119" s="3">
        <f>0</f>
        <v>0</v>
      </c>
      <c r="E119" s="3">
        <f>(11638+0+0)</f>
        <v>11638</v>
      </c>
      <c r="F119" s="3">
        <f>0</f>
        <v>0</v>
      </c>
      <c r="G119" s="3">
        <f>0</f>
        <v>0</v>
      </c>
      <c r="H119" s="3">
        <f>(0+0)</f>
        <v>0</v>
      </c>
      <c r="I119" s="3">
        <f>((11638+0+0)-(0+0))</f>
        <v>11638</v>
      </c>
    </row>
    <row r="120" spans="1:9" ht="14" x14ac:dyDescent="0.3">
      <c r="A120" s="2" t="s">
        <v>26</v>
      </c>
      <c r="B120" s="3">
        <f>2148730</f>
        <v>2148730</v>
      </c>
      <c r="C120" s="3">
        <f>0</f>
        <v>0</v>
      </c>
      <c r="D120" s="3">
        <f>0</f>
        <v>0</v>
      </c>
      <c r="E120" s="3">
        <f>(2148730+0+0)</f>
        <v>2148730</v>
      </c>
      <c r="F120" s="3">
        <f>0</f>
        <v>0</v>
      </c>
      <c r="G120" s="3">
        <f>234440</f>
        <v>234440</v>
      </c>
      <c r="H120" s="3">
        <f>(0+234440)</f>
        <v>234440</v>
      </c>
      <c r="I120" s="3">
        <f>((2148730+0+0)-(0+234440))</f>
        <v>1914290</v>
      </c>
    </row>
    <row r="121" spans="1:9" ht="14" x14ac:dyDescent="0.3">
      <c r="A121" s="5" t="s">
        <v>32</v>
      </c>
      <c r="B121" s="5"/>
      <c r="C121" s="5"/>
      <c r="D121" s="5"/>
      <c r="E121" s="5"/>
      <c r="F121" s="5"/>
      <c r="G121" s="5"/>
      <c r="H121" s="5"/>
      <c r="I121" s="5"/>
    </row>
    <row r="122" spans="1:9" ht="14" x14ac:dyDescent="0.3">
      <c r="A122" s="4" t="s">
        <v>1</v>
      </c>
      <c r="B122" s="1" t="s">
        <v>2</v>
      </c>
      <c r="C122" s="1" t="s">
        <v>3</v>
      </c>
      <c r="D122" s="1" t="s">
        <v>4</v>
      </c>
      <c r="E122" s="1" t="s">
        <v>5</v>
      </c>
      <c r="F122" s="1" t="s">
        <v>6</v>
      </c>
      <c r="G122" s="1" t="s">
        <v>7</v>
      </c>
      <c r="H122" s="1" t="s">
        <v>8</v>
      </c>
      <c r="I122" s="1" t="s">
        <v>9</v>
      </c>
    </row>
    <row r="123" spans="1:9" ht="14" x14ac:dyDescent="0.3">
      <c r="A123" s="4"/>
      <c r="B123" s="1">
        <v>2023</v>
      </c>
      <c r="C123" s="1">
        <v>2023</v>
      </c>
      <c r="D123" s="1">
        <v>2023</v>
      </c>
      <c r="E123" s="1">
        <v>2023</v>
      </c>
      <c r="F123" s="1">
        <v>2023</v>
      </c>
      <c r="G123" s="1">
        <v>2023</v>
      </c>
      <c r="H123" s="1">
        <v>2023</v>
      </c>
      <c r="I123" s="1">
        <v>2023</v>
      </c>
    </row>
    <row r="124" spans="1:9" ht="14" x14ac:dyDescent="0.3">
      <c r="A124" s="2" t="s">
        <v>10</v>
      </c>
      <c r="B124" s="3">
        <f>575</f>
        <v>575</v>
      </c>
      <c r="C124" s="3">
        <f>0</f>
        <v>0</v>
      </c>
      <c r="D124" s="3">
        <f>0</f>
        <v>0</v>
      </c>
      <c r="E124" s="3">
        <f>(575+0+0)</f>
        <v>575</v>
      </c>
      <c r="F124" s="3">
        <f>0</f>
        <v>0</v>
      </c>
      <c r="G124" s="3">
        <f>702</f>
        <v>702</v>
      </c>
      <c r="H124" s="3">
        <f>(0+702)</f>
        <v>702</v>
      </c>
      <c r="I124" s="3">
        <f>((575+0+0)-(0+702))</f>
        <v>-127</v>
      </c>
    </row>
    <row r="125" spans="1:9" ht="14" x14ac:dyDescent="0.3">
      <c r="A125" s="2" t="s">
        <v>11</v>
      </c>
      <c r="B125" s="3">
        <f>152831</f>
        <v>152831</v>
      </c>
      <c r="C125" s="3">
        <f>0</f>
        <v>0</v>
      </c>
      <c r="D125" s="3">
        <f>0</f>
        <v>0</v>
      </c>
      <c r="E125" s="3">
        <f>(152831+0+0)</f>
        <v>152831</v>
      </c>
      <c r="F125" s="3">
        <f>0</f>
        <v>0</v>
      </c>
      <c r="G125" s="3">
        <f>24852</f>
        <v>24852</v>
      </c>
      <c r="H125" s="3">
        <f>(0+24852)</f>
        <v>24852</v>
      </c>
      <c r="I125" s="3">
        <f>((152831+0+0)-(0+24852))</f>
        <v>127979</v>
      </c>
    </row>
    <row r="126" spans="1:9" ht="14" x14ac:dyDescent="0.3">
      <c r="A126" s="2" t="s">
        <v>12</v>
      </c>
      <c r="B126" s="3">
        <f>80569</f>
        <v>80569</v>
      </c>
      <c r="C126" s="3">
        <f>0</f>
        <v>0</v>
      </c>
      <c r="D126" s="3">
        <f>0</f>
        <v>0</v>
      </c>
      <c r="E126" s="3">
        <f>(80569+0+0)</f>
        <v>80569</v>
      </c>
      <c r="F126" s="3">
        <f>0</f>
        <v>0</v>
      </c>
      <c r="G126" s="3">
        <f>244266</f>
        <v>244266</v>
      </c>
      <c r="H126" s="3">
        <f>(0+244266)</f>
        <v>244266</v>
      </c>
      <c r="I126" s="3">
        <f>((80569+0+0)-(0+244266))</f>
        <v>-163697</v>
      </c>
    </row>
    <row r="127" spans="1:9" ht="14" x14ac:dyDescent="0.3">
      <c r="A127" s="2" t="s">
        <v>13</v>
      </c>
      <c r="B127" s="3">
        <f>0</f>
        <v>0</v>
      </c>
      <c r="C127" s="3">
        <f>0</f>
        <v>0</v>
      </c>
      <c r="D127" s="3">
        <f>0</f>
        <v>0</v>
      </c>
      <c r="E127" s="3">
        <f>(0+0+0)</f>
        <v>0</v>
      </c>
      <c r="F127" s="3">
        <f>0</f>
        <v>0</v>
      </c>
      <c r="G127" s="3">
        <f>0</f>
        <v>0</v>
      </c>
      <c r="H127" s="3">
        <f>(0+0)</f>
        <v>0</v>
      </c>
      <c r="I127" s="3">
        <f>((0+0+0)-(0+0))</f>
        <v>0</v>
      </c>
    </row>
    <row r="128" spans="1:9" ht="14" x14ac:dyDescent="0.3">
      <c r="A128" s="2" t="s">
        <v>14</v>
      </c>
      <c r="B128" s="3">
        <f>442852</f>
        <v>442852</v>
      </c>
      <c r="C128" s="3">
        <f>0</f>
        <v>0</v>
      </c>
      <c r="D128" s="3">
        <f>0</f>
        <v>0</v>
      </c>
      <c r="E128" s="3">
        <f>(442852+0+0)</f>
        <v>442852</v>
      </c>
      <c r="F128" s="3">
        <f>0</f>
        <v>0</v>
      </c>
      <c r="G128" s="3">
        <f>62667</f>
        <v>62667</v>
      </c>
      <c r="H128" s="3">
        <f>(0+62667)</f>
        <v>62667</v>
      </c>
      <c r="I128" s="3">
        <f>((442852+0+0)-(0+62667))</f>
        <v>380185</v>
      </c>
    </row>
    <row r="129" spans="1:9" ht="14" x14ac:dyDescent="0.3">
      <c r="A129" s="2" t="s">
        <v>15</v>
      </c>
      <c r="B129" s="3">
        <f>48096</f>
        <v>48096</v>
      </c>
      <c r="C129" s="3">
        <f>0</f>
        <v>0</v>
      </c>
      <c r="D129" s="3">
        <f>0</f>
        <v>0</v>
      </c>
      <c r="E129" s="3">
        <f>(48096+0+0)</f>
        <v>48096</v>
      </c>
      <c r="F129" s="3">
        <f>0</f>
        <v>0</v>
      </c>
      <c r="G129" s="3">
        <f>77945</f>
        <v>77945</v>
      </c>
      <c r="H129" s="3">
        <f>(0+77945)</f>
        <v>77945</v>
      </c>
      <c r="I129" s="3">
        <f>((48096+0+0)-(0+77945))</f>
        <v>-29849</v>
      </c>
    </row>
    <row r="130" spans="1:9" ht="14" x14ac:dyDescent="0.3">
      <c r="A130" s="2" t="s">
        <v>16</v>
      </c>
      <c r="B130" s="3">
        <f>68405</f>
        <v>68405</v>
      </c>
      <c r="C130" s="3">
        <f>0</f>
        <v>0</v>
      </c>
      <c r="D130" s="3">
        <f>0</f>
        <v>0</v>
      </c>
      <c r="E130" s="3">
        <f>(68405+0+0)</f>
        <v>68405</v>
      </c>
      <c r="F130" s="3">
        <f>0</f>
        <v>0</v>
      </c>
      <c r="G130" s="3">
        <f>0</f>
        <v>0</v>
      </c>
      <c r="H130" s="3">
        <f>(0+0)</f>
        <v>0</v>
      </c>
      <c r="I130" s="3">
        <f>((68405+0+0)-(0+0))</f>
        <v>68405</v>
      </c>
    </row>
    <row r="131" spans="1:9" ht="14" x14ac:dyDescent="0.3">
      <c r="A131" s="2" t="s">
        <v>17</v>
      </c>
      <c r="B131" s="3">
        <f>0</f>
        <v>0</v>
      </c>
      <c r="C131" s="3">
        <f>0</f>
        <v>0</v>
      </c>
      <c r="D131" s="3">
        <f>0</f>
        <v>0</v>
      </c>
      <c r="E131" s="3">
        <f>(0+0+0)</f>
        <v>0</v>
      </c>
      <c r="F131" s="3">
        <f>0</f>
        <v>0</v>
      </c>
      <c r="G131" s="3">
        <f>0</f>
        <v>0</v>
      </c>
      <c r="H131" s="3">
        <f>(0+0)</f>
        <v>0</v>
      </c>
      <c r="I131" s="3">
        <f>((0+0+0)-(0+0))</f>
        <v>0</v>
      </c>
    </row>
    <row r="132" spans="1:9" ht="14" x14ac:dyDescent="0.3">
      <c r="A132" s="2" t="s">
        <v>18</v>
      </c>
      <c r="B132" s="3">
        <f>0</f>
        <v>0</v>
      </c>
      <c r="C132" s="3">
        <f>0</f>
        <v>0</v>
      </c>
      <c r="D132" s="3">
        <f>0</f>
        <v>0</v>
      </c>
      <c r="E132" s="3">
        <f>(0+0+0)</f>
        <v>0</v>
      </c>
      <c r="F132" s="3">
        <f>0</f>
        <v>0</v>
      </c>
      <c r="G132" s="3">
        <f>0</f>
        <v>0</v>
      </c>
      <c r="H132" s="3">
        <f>(0+0)</f>
        <v>0</v>
      </c>
      <c r="I132" s="3">
        <f>((0+0+0)-(0+0))</f>
        <v>0</v>
      </c>
    </row>
    <row r="133" spans="1:9" ht="14" x14ac:dyDescent="0.3">
      <c r="A133" s="2" t="s">
        <v>19</v>
      </c>
      <c r="B133" s="3">
        <f>23706</f>
        <v>23706</v>
      </c>
      <c r="C133" s="3">
        <f>0</f>
        <v>0</v>
      </c>
      <c r="D133" s="3">
        <f>0</f>
        <v>0</v>
      </c>
      <c r="E133" s="3">
        <f>(23706+0+0)</f>
        <v>23706</v>
      </c>
      <c r="F133" s="3">
        <f>0</f>
        <v>0</v>
      </c>
      <c r="G133" s="3">
        <f>8140</f>
        <v>8140</v>
      </c>
      <c r="H133" s="3">
        <f>(0+8140)</f>
        <v>8140</v>
      </c>
      <c r="I133" s="3">
        <f>((23706+0+0)-(0+8140))</f>
        <v>15566</v>
      </c>
    </row>
    <row r="134" spans="1:9" ht="14" x14ac:dyDescent="0.3">
      <c r="A134" s="2" t="s">
        <v>20</v>
      </c>
      <c r="B134" s="3">
        <f>3219</f>
        <v>3219</v>
      </c>
      <c r="C134" s="3">
        <f>0</f>
        <v>0</v>
      </c>
      <c r="D134" s="3">
        <f>0</f>
        <v>0</v>
      </c>
      <c r="E134" s="3">
        <f>(3219+0+0)</f>
        <v>3219</v>
      </c>
      <c r="F134" s="3">
        <f>0</f>
        <v>0</v>
      </c>
      <c r="G134" s="3">
        <f>0</f>
        <v>0</v>
      </c>
      <c r="H134" s="3">
        <f>(0+0)</f>
        <v>0</v>
      </c>
      <c r="I134" s="3">
        <f>((3219+0+0)-(0+0))</f>
        <v>3219</v>
      </c>
    </row>
    <row r="135" spans="1:9" ht="14" x14ac:dyDescent="0.3">
      <c r="A135" s="2" t="s">
        <v>21</v>
      </c>
      <c r="B135" s="3">
        <f>0</f>
        <v>0</v>
      </c>
      <c r="C135" s="3">
        <f>0</f>
        <v>0</v>
      </c>
      <c r="D135" s="3">
        <f>0</f>
        <v>0</v>
      </c>
      <c r="E135" s="3">
        <f>(0+0+0)</f>
        <v>0</v>
      </c>
      <c r="F135" s="3">
        <f>0</f>
        <v>0</v>
      </c>
      <c r="G135" s="3">
        <f>0</f>
        <v>0</v>
      </c>
      <c r="H135" s="3">
        <f>(0+0)</f>
        <v>0</v>
      </c>
      <c r="I135" s="3">
        <f>((0+0+0)-(0+0))</f>
        <v>0</v>
      </c>
    </row>
    <row r="136" spans="1:9" ht="14" x14ac:dyDescent="0.3">
      <c r="A136" s="2" t="s">
        <v>22</v>
      </c>
      <c r="B136" s="3">
        <f>1096743</f>
        <v>1096743</v>
      </c>
      <c r="C136" s="3">
        <f>0</f>
        <v>0</v>
      </c>
      <c r="D136" s="3">
        <f>0</f>
        <v>0</v>
      </c>
      <c r="E136" s="3">
        <f>(1096743+0+0)</f>
        <v>1096743</v>
      </c>
      <c r="F136" s="3">
        <f>0</f>
        <v>0</v>
      </c>
      <c r="G136" s="3">
        <f>1239908</f>
        <v>1239908</v>
      </c>
      <c r="H136" s="3">
        <f>(0+1239908)</f>
        <v>1239908</v>
      </c>
      <c r="I136" s="3">
        <f>((1096743+0+0)-(0+1239908))</f>
        <v>-143165</v>
      </c>
    </row>
    <row r="137" spans="1:9" ht="14" x14ac:dyDescent="0.3">
      <c r="A137" s="2" t="s">
        <v>23</v>
      </c>
      <c r="B137" s="3">
        <f>20463</f>
        <v>20463</v>
      </c>
      <c r="C137" s="3">
        <f>0</f>
        <v>0</v>
      </c>
      <c r="D137" s="3">
        <f>0</f>
        <v>0</v>
      </c>
      <c r="E137" s="3">
        <f>(20463+0+0)</f>
        <v>20463</v>
      </c>
      <c r="F137" s="3">
        <f>0</f>
        <v>0</v>
      </c>
      <c r="G137" s="3">
        <f>1590</f>
        <v>1590</v>
      </c>
      <c r="H137" s="3">
        <f>(0+1590)</f>
        <v>1590</v>
      </c>
      <c r="I137" s="3">
        <f>((20463+0+0)-(0+1590))</f>
        <v>18873</v>
      </c>
    </row>
    <row r="138" spans="1:9" ht="14" x14ac:dyDescent="0.3">
      <c r="A138" s="2" t="s">
        <v>24</v>
      </c>
      <c r="B138" s="3">
        <f>3444</f>
        <v>3444</v>
      </c>
      <c r="C138" s="3">
        <f>0</f>
        <v>0</v>
      </c>
      <c r="D138" s="3">
        <f>0</f>
        <v>0</v>
      </c>
      <c r="E138" s="3">
        <f>(3444+0+0)</f>
        <v>3444</v>
      </c>
      <c r="F138" s="3">
        <f>0</f>
        <v>0</v>
      </c>
      <c r="G138" s="3">
        <f>85009</f>
        <v>85009</v>
      </c>
      <c r="H138" s="3">
        <f>(0+85009)</f>
        <v>85009</v>
      </c>
      <c r="I138" s="3">
        <f>((3444+0+0)-(0+85009))</f>
        <v>-81565</v>
      </c>
    </row>
    <row r="139" spans="1:9" ht="14" x14ac:dyDescent="0.3">
      <c r="A139" s="2" t="s">
        <v>25</v>
      </c>
      <c r="B139" s="3">
        <f>21031</f>
        <v>21031</v>
      </c>
      <c r="C139" s="3">
        <f>0</f>
        <v>0</v>
      </c>
      <c r="D139" s="3">
        <f>0</f>
        <v>0</v>
      </c>
      <c r="E139" s="3">
        <f>(21031+0+0)</f>
        <v>21031</v>
      </c>
      <c r="F139" s="3">
        <f>0</f>
        <v>0</v>
      </c>
      <c r="G139" s="3">
        <f>0</f>
        <v>0</v>
      </c>
      <c r="H139" s="3">
        <f>(0+0)</f>
        <v>0</v>
      </c>
      <c r="I139" s="3">
        <f>((21031+0+0)-(0+0))</f>
        <v>21031</v>
      </c>
    </row>
    <row r="140" spans="1:9" ht="14" x14ac:dyDescent="0.3">
      <c r="A140" s="2" t="s">
        <v>26</v>
      </c>
      <c r="B140" s="3">
        <f>0</f>
        <v>0</v>
      </c>
      <c r="C140" s="3">
        <f>0</f>
        <v>0</v>
      </c>
      <c r="D140" s="3">
        <f>0</f>
        <v>0</v>
      </c>
      <c r="E140" s="3">
        <f>(0+0+0)</f>
        <v>0</v>
      </c>
      <c r="F140" s="3">
        <f>0</f>
        <v>0</v>
      </c>
      <c r="G140" s="3">
        <f>0</f>
        <v>0</v>
      </c>
      <c r="H140" s="3">
        <f>(0+0)</f>
        <v>0</v>
      </c>
      <c r="I140" s="3">
        <f>((0+0+0)-(0+0))</f>
        <v>0</v>
      </c>
    </row>
    <row r="141" spans="1:9" ht="14" x14ac:dyDescent="0.3">
      <c r="A141" s="5" t="s">
        <v>33</v>
      </c>
      <c r="B141" s="5"/>
      <c r="C141" s="5"/>
      <c r="D141" s="5"/>
      <c r="E141" s="5"/>
      <c r="F141" s="5"/>
      <c r="G141" s="5"/>
      <c r="H141" s="5"/>
      <c r="I141" s="5"/>
    </row>
    <row r="142" spans="1:9" ht="14" x14ac:dyDescent="0.3">
      <c r="A142" s="4" t="s">
        <v>1</v>
      </c>
      <c r="B142" s="1" t="s">
        <v>2</v>
      </c>
      <c r="C142" s="1" t="s">
        <v>3</v>
      </c>
      <c r="D142" s="1" t="s">
        <v>4</v>
      </c>
      <c r="E142" s="1" t="s">
        <v>5</v>
      </c>
      <c r="F142" s="1" t="s">
        <v>6</v>
      </c>
      <c r="G142" s="1" t="s">
        <v>7</v>
      </c>
      <c r="H142" s="1" t="s">
        <v>8</v>
      </c>
      <c r="I142" s="1" t="s">
        <v>9</v>
      </c>
    </row>
    <row r="143" spans="1:9" ht="14" x14ac:dyDescent="0.3">
      <c r="A143" s="4"/>
      <c r="B143" s="1">
        <v>2023</v>
      </c>
      <c r="C143" s="1">
        <v>2023</v>
      </c>
      <c r="D143" s="1">
        <v>2023</v>
      </c>
      <c r="E143" s="1">
        <v>2023</v>
      </c>
      <c r="F143" s="1">
        <v>2023</v>
      </c>
      <c r="G143" s="1">
        <v>2023</v>
      </c>
      <c r="H143" s="1">
        <v>2023</v>
      </c>
      <c r="I143" s="1">
        <v>2023</v>
      </c>
    </row>
    <row r="144" spans="1:9" ht="14" x14ac:dyDescent="0.3">
      <c r="A144" s="2" t="s">
        <v>10</v>
      </c>
      <c r="B144" s="3">
        <f>(358+29129+(224640+262342)+561+14999+48920)</f>
        <v>580949</v>
      </c>
      <c r="C144" s="3">
        <f>(0+0+(0+0)+0+0+0)</f>
        <v>0</v>
      </c>
      <c r="D144" s="3">
        <f>(0+0+(0+0)+0+0+0)</f>
        <v>0</v>
      </c>
      <c r="E144" s="3">
        <f>((358+29129+(224640+262342)+561+14999+48920)+(0+0+(0+0)+0+0+0)+(0+0+(0+0)+0+0+0))</f>
        <v>580949</v>
      </c>
      <c r="F144" s="3">
        <f>(0+0+(0+0)+0+0+0)</f>
        <v>0</v>
      </c>
      <c r="G144" s="3">
        <f>(20604+245822+(138067+161239)+30231+69940+32147)</f>
        <v>698050</v>
      </c>
      <c r="H144" s="3">
        <f>((0+0+(0+0)+0+0+0)+(20604+245822+(138067+161239)+30231+69940+32147))</f>
        <v>698050</v>
      </c>
      <c r="I144" s="3">
        <f>(((358+29129+(224640+262342)+561+14999+48920)+(0+0+(0+0)+0+0+0)+(0+0+(0+0)+0+0+0))-((0+0+(0+0)+0+0+0)+(20604+245822+(138067+161239)+30231+69940+32147)))</f>
        <v>-117101</v>
      </c>
    </row>
    <row r="145" spans="1:9" ht="14" x14ac:dyDescent="0.3">
      <c r="A145" s="2" t="s">
        <v>11</v>
      </c>
      <c r="B145" s="3">
        <f>(0+0+(0+0)+0+0+1203605)</f>
        <v>1203605</v>
      </c>
      <c r="C145" s="3">
        <f>(0+0+(0+0)+0+0+0)</f>
        <v>0</v>
      </c>
      <c r="D145" s="3">
        <f>(0+0+(0+0)+0+0+0)</f>
        <v>0</v>
      </c>
      <c r="E145" s="3">
        <f>((0+0+(0+0)+0+0+1203605)+(0+0+(0+0)+0+0+0)+(0+0+(0+0)+0+0+0))</f>
        <v>1203605</v>
      </c>
      <c r="F145" s="3">
        <f>(0+0+(0+0)+0+0+0)</f>
        <v>0</v>
      </c>
      <c r="G145" s="3">
        <f>(0+0+(0+0)+0+0+3680)</f>
        <v>3680</v>
      </c>
      <c r="H145" s="3">
        <f>((0+0+(0+0)+0+0+0)+(0+0+(0+0)+0+0+3680))</f>
        <v>3680</v>
      </c>
      <c r="I145" s="3">
        <f>(((0+0+(0+0)+0+0+1203605)+(0+0+(0+0)+0+0+0)+(0+0+(0+0)+0+0+0))-((0+0+(0+0)+0+0+0)+(0+0+(0+0)+0+0+3680)))</f>
        <v>1199925</v>
      </c>
    </row>
    <row r="146" spans="1:9" ht="14" x14ac:dyDescent="0.3">
      <c r="A146" s="2" t="s">
        <v>12</v>
      </c>
      <c r="B146" s="3">
        <f>(249289+726394+(412916+481647)+76715+131606+120430)</f>
        <v>2198997</v>
      </c>
      <c r="C146" s="3">
        <f>(1479+24516+(0+0)+0+5380+0)</f>
        <v>31375</v>
      </c>
      <c r="D146" s="3">
        <f>(0+0+(0+0)+0+0+0)</f>
        <v>0</v>
      </c>
      <c r="E146" s="3">
        <f>((249289+726394+(412916+481647)+76715+131606+120430)+(1479+24516+(0+0)+0+5380+0)+(0+0+(0+0)+0+0+0))</f>
        <v>2230372</v>
      </c>
      <c r="F146" s="3">
        <f>(46350+308985+((-918)+0)+0+34516+0)</f>
        <v>388933</v>
      </c>
      <c r="G146" s="3">
        <f>(613975+1005785+(6584+5133)+127491+334024+497012)</f>
        <v>2590004</v>
      </c>
      <c r="H146" s="3">
        <f>((46350+308985+((-918)+0)+0+34516+0)+(613975+1005785+(6584+5133)+127491+334024+497012))</f>
        <v>2978937</v>
      </c>
      <c r="I146" s="3">
        <f>(((249289+726394+(412916+481647)+76715+131606+120430)+(1479+24516+(0+0)+0+5380+0)+(0+0+(0+0)+0+0+0))-((46350+308985+((-918)+0)+0+34516+0)+(613975+1005785+(6584+5133)+127491+334024+497012)))</f>
        <v>-748565</v>
      </c>
    </row>
    <row r="147" spans="1:9" ht="14" x14ac:dyDescent="0.3">
      <c r="A147" s="2" t="s">
        <v>13</v>
      </c>
      <c r="B147" s="3">
        <f>(76954+778828+(715857+748427)+114176+248340+135188)</f>
        <v>2817770</v>
      </c>
      <c r="C147" s="3">
        <f>(24631+273519+(0+0)+0+33350+0)</f>
        <v>331500</v>
      </c>
      <c r="D147" s="3">
        <f>(0+0+(0+0)+0+0+0)</f>
        <v>0</v>
      </c>
      <c r="E147" s="3">
        <f>((76954+778828+(715857+748427)+114176+248340+135188)+(24631+273519+(0+0)+0+33350+0)+(0+0+(0+0)+0+0+0))</f>
        <v>3149270</v>
      </c>
      <c r="F147" s="3">
        <f>(14+61281+(0+0)+6+4943+15)</f>
        <v>66259</v>
      </c>
      <c r="G147" s="3">
        <f>(0+83124+(0+0)+14067+19857+11157)</f>
        <v>128205</v>
      </c>
      <c r="H147" s="3">
        <f>((14+61281+(0+0)+6+4943+15)+(0+83124+(0+0)+14067+19857+11157))</f>
        <v>194464</v>
      </c>
      <c r="I147" s="3">
        <f>(((76954+778828+(715857+748427)+114176+248340+135188)+(24631+273519+(0+0)+0+33350+0)+(0+0+(0+0)+0+0+0))-((14+61281+(0+0)+6+4943+15)+(0+83124+(0+0)+14067+19857+11157)))</f>
        <v>2954806</v>
      </c>
    </row>
    <row r="148" spans="1:9" ht="14" x14ac:dyDescent="0.3">
      <c r="A148" s="2" t="s">
        <v>14</v>
      </c>
      <c r="B148" s="3">
        <f>(871+2712+(328220+127424)+15417+55198+14133)</f>
        <v>543975</v>
      </c>
      <c r="C148" s="3">
        <f>(0+0+(0+0)+0+0+0)</f>
        <v>0</v>
      </c>
      <c r="D148" s="3">
        <f>(0+0+(0+0)+0+0+0)</f>
        <v>0</v>
      </c>
      <c r="E148" s="3">
        <f>((871+2712+(328220+127424)+15417+55198+14133)+(0+0+(0+0)+0+0+0)+(0+0+(0+0)+0+0+0))</f>
        <v>543975</v>
      </c>
      <c r="F148" s="3">
        <f>(793+17626+(0+0)+0+49786+2510)</f>
        <v>70715</v>
      </c>
      <c r="G148" s="3">
        <f>(868+18534+(0+0)+3427+40125+1977)</f>
        <v>64931</v>
      </c>
      <c r="H148" s="3">
        <f>((793+17626+(0+0)+0+49786+2510)+(868+18534+(0+0)+3427+40125+1977))</f>
        <v>135646</v>
      </c>
      <c r="I148" s="3">
        <f>(((871+2712+(328220+127424)+15417+55198+14133)+(0+0+(0+0)+0+0+0)+(0+0+(0+0)+0+0+0))-((793+17626+(0+0)+0+49786+2510)+(868+18534+(0+0)+3427+40125+1977)))</f>
        <v>408329</v>
      </c>
    </row>
    <row r="149" spans="1:9" ht="14" x14ac:dyDescent="0.3">
      <c r="A149" s="2" t="s">
        <v>15</v>
      </c>
      <c r="B149" s="3">
        <f>(51912+26568+(208877+181687)+214451+101454+202165)</f>
        <v>987114</v>
      </c>
      <c r="C149" s="3">
        <f>(0+2093+(0+0)+0+0+0)</f>
        <v>2093</v>
      </c>
      <c r="D149" s="3">
        <f>(804+55+(0+0)+0+0+0)</f>
        <v>859</v>
      </c>
      <c r="E149" s="3">
        <f>((51912+26568+(208877+181687)+214451+101454+202165)+(0+2093+(0+0)+0+0+0)+(804+55+(0+0)+0+0+0))</f>
        <v>990066</v>
      </c>
      <c r="F149" s="3">
        <f>(17702+34398+(0+0)+85+0+0)</f>
        <v>52185</v>
      </c>
      <c r="G149" s="3">
        <f>(90847+541801+(6941+6037)+334051+285396+38302)</f>
        <v>1303375</v>
      </c>
      <c r="H149" s="3">
        <f>((17702+34398+(0+0)+85+0+0)+(90847+541801+(6941+6037)+334051+285396+38302))</f>
        <v>1355560</v>
      </c>
      <c r="I149" s="3">
        <f>(((51912+26568+(208877+181687)+214451+101454+202165)+(0+2093+(0+0)+0+0+0)+(804+55+(0+0)+0+0+0))-((17702+34398+(0+0)+85+0+0)+(90847+541801+(6941+6037)+334051+285396+38302)))</f>
        <v>-365494</v>
      </c>
    </row>
    <row r="150" spans="1:9" ht="14" x14ac:dyDescent="0.3">
      <c r="A150" s="2" t="s">
        <v>16</v>
      </c>
      <c r="B150" s="3">
        <f>(104+264295+(899+0)+22366+73548+10611)</f>
        <v>371823</v>
      </c>
      <c r="C150" s="3">
        <f>(0+0+(0+0)+0+0+0)</f>
        <v>0</v>
      </c>
      <c r="D150" s="3">
        <f>(0+0+(0+0)+0+0+0)</f>
        <v>0</v>
      </c>
      <c r="E150" s="3">
        <f>((104+264295+(899+0)+22366+73548+10611)+(0+0+(0+0)+0+0+0)+(0+0+(0+0)+0+0+0))</f>
        <v>371823</v>
      </c>
      <c r="F150" s="3">
        <f>(0+0+(0+0)+0+0+0)</f>
        <v>0</v>
      </c>
      <c r="G150" s="3">
        <f>(0+0+(0+0)+0+0+0)</f>
        <v>0</v>
      </c>
      <c r="H150" s="3">
        <f>((0+0+(0+0)+0+0+0)+(0+0+(0+0)+0+0+0))</f>
        <v>0</v>
      </c>
      <c r="I150" s="3">
        <f>(((104+264295+(899+0)+22366+73548+10611)+(0+0+(0+0)+0+0+0)+(0+0+(0+0)+0+0+0))-((0+0+(0+0)+0+0+0)+(0+0+(0+0)+0+0+0)))</f>
        <v>371823</v>
      </c>
    </row>
    <row r="151" spans="1:9" ht="14" x14ac:dyDescent="0.3">
      <c r="A151" s="2" t="s">
        <v>17</v>
      </c>
      <c r="B151" s="3">
        <f>(0+6449+(43150+149092)+226+333+59)</f>
        <v>199309</v>
      </c>
      <c r="C151" s="3">
        <f>(0+62566+(0+0)+0+2452+0)</f>
        <v>65018</v>
      </c>
      <c r="D151" s="3">
        <f t="shared" ref="D151:D160" si="3">(0+0+(0+0)+0+0+0)</f>
        <v>0</v>
      </c>
      <c r="E151" s="3">
        <f>((0+6449+(43150+149092)+226+333+59)+(0+62566+(0+0)+0+2452+0)+(0+0+(0+0)+0+0+0))</f>
        <v>264327</v>
      </c>
      <c r="F151" s="3">
        <f>(0+0+(0+0)+0+0+0)</f>
        <v>0</v>
      </c>
      <c r="G151" s="3">
        <f>(0+0+(0+0)+0+0+0)</f>
        <v>0</v>
      </c>
      <c r="H151" s="3">
        <f>((0+0+(0+0)+0+0+0)+(0+0+(0+0)+0+0+0))</f>
        <v>0</v>
      </c>
      <c r="I151" s="3">
        <f>(((0+6449+(43150+149092)+226+333+59)+(0+62566+(0+0)+0+2452+0)+(0+0+(0+0)+0+0+0))-((0+0+(0+0)+0+0+0)+(0+0+(0+0)+0+0+0)))</f>
        <v>264327</v>
      </c>
    </row>
    <row r="152" spans="1:9" ht="14" x14ac:dyDescent="0.3">
      <c r="A152" s="2" t="s">
        <v>18</v>
      </c>
      <c r="B152" s="3">
        <f>(1287+49619+(26537+2586)+5866+4208+1356)</f>
        <v>91459</v>
      </c>
      <c r="C152" s="3">
        <f>(0+16815+(0+0)+0+7203+0)</f>
        <v>24018</v>
      </c>
      <c r="D152" s="3">
        <f t="shared" si="3"/>
        <v>0</v>
      </c>
      <c r="E152" s="3">
        <f>((1287+49619+(26537+2586)+5866+4208+1356)+(0+16815+(0+0)+0+7203+0)+(0+0+(0+0)+0+0+0))</f>
        <v>115477</v>
      </c>
      <c r="F152" s="3">
        <f>(0+10034+(0+0)+0+2157+0)</f>
        <v>12191</v>
      </c>
      <c r="G152" s="3">
        <f>(4300+91547+(0+0)+896+14228+3204)</f>
        <v>114175</v>
      </c>
      <c r="H152" s="3">
        <f>((0+10034+(0+0)+0+2157+0)+(4300+91547+(0+0)+896+14228+3204))</f>
        <v>126366</v>
      </c>
      <c r="I152" s="3">
        <f>(((1287+49619+(26537+2586)+5866+4208+1356)+(0+16815+(0+0)+0+7203+0)+(0+0+(0+0)+0+0+0))-((0+10034+(0+0)+0+2157+0)+(4300+91547+(0+0)+896+14228+3204)))</f>
        <v>-10889</v>
      </c>
    </row>
    <row r="153" spans="1:9" ht="14" x14ac:dyDescent="0.3">
      <c r="A153" s="2" t="s">
        <v>19</v>
      </c>
      <c r="B153" s="3">
        <f>(38255+364153+(238570+195193)+61480+127932+25516)</f>
        <v>1051099</v>
      </c>
      <c r="C153" s="3">
        <f>(0+0+(0+0)+0+0+0)</f>
        <v>0</v>
      </c>
      <c r="D153" s="3">
        <f t="shared" si="3"/>
        <v>0</v>
      </c>
      <c r="E153" s="3">
        <f>((38255+364153+(238570+195193)+61480+127932+25516)+(0+0+(0+0)+0+0+0)+(0+0+(0+0)+0+0+0))</f>
        <v>1051099</v>
      </c>
      <c r="F153" s="3">
        <f>(0+0+(0+0)+0+0+0)</f>
        <v>0</v>
      </c>
      <c r="G153" s="3">
        <f>(95245+490927+(6670+5457)+112202+184507+32498)</f>
        <v>927506</v>
      </c>
      <c r="H153" s="3">
        <f>((0+0+(0+0)+0+0+0)+(95245+490927+(6670+5457)+112202+184507+32498))</f>
        <v>927506</v>
      </c>
      <c r="I153" s="3">
        <f>(((38255+364153+(238570+195193)+61480+127932+25516)+(0+0+(0+0)+0+0+0)+(0+0+(0+0)+0+0+0))-((0+0+(0+0)+0+0+0)+(95245+490927+(6670+5457)+112202+184507+32498)))</f>
        <v>123593</v>
      </c>
    </row>
    <row r="154" spans="1:9" ht="14" x14ac:dyDescent="0.3">
      <c r="A154" s="2" t="s">
        <v>20</v>
      </c>
      <c r="B154" s="3">
        <f>(12242+70956+(18714+352)+40272+21214+7072)</f>
        <v>170822</v>
      </c>
      <c r="C154" s="3">
        <f>(2201+16299+(0+0)+0+1064+0)</f>
        <v>19564</v>
      </c>
      <c r="D154" s="3">
        <f t="shared" si="3"/>
        <v>0</v>
      </c>
      <c r="E154" s="3">
        <f>((12242+70956+(18714+352)+40272+21214+7072)+(2201+16299+(0+0)+0+1064+0)+(0+0+(0+0)+0+0+0))</f>
        <v>190386</v>
      </c>
      <c r="F154" s="3">
        <f>(2167+36886+(0+0)+0+2653+0)</f>
        <v>41706</v>
      </c>
      <c r="G154" s="3">
        <f>(21493+85056+(9167+0)+20343+34612+6245)</f>
        <v>176916</v>
      </c>
      <c r="H154" s="3">
        <f>((2167+36886+(0+0)+0+2653+0)+(21493+85056+(9167+0)+20343+34612+6245))</f>
        <v>218622</v>
      </c>
      <c r="I154" s="3">
        <f>(((12242+70956+(18714+352)+40272+21214+7072)+(2201+16299+(0+0)+0+1064+0)+(0+0+(0+0)+0+0+0))-((2167+36886+(0+0)+0+2653+0)+(21493+85056+(9167+0)+20343+34612+6245)))</f>
        <v>-28236</v>
      </c>
    </row>
    <row r="155" spans="1:9" ht="14" x14ac:dyDescent="0.3">
      <c r="A155" s="2" t="s">
        <v>21</v>
      </c>
      <c r="B155" s="3">
        <f>(0+0+(0+0)+0+0+0)</f>
        <v>0</v>
      </c>
      <c r="C155" s="3">
        <f>(0+0+(0+0)+0+0+0)</f>
        <v>0</v>
      </c>
      <c r="D155" s="3">
        <f t="shared" si="3"/>
        <v>0</v>
      </c>
      <c r="E155" s="3">
        <f>((0+0+(0+0)+0+0+0)+(0+0+(0+0)+0+0+0)+(0+0+(0+0)+0+0+0))</f>
        <v>0</v>
      </c>
      <c r="F155" s="3">
        <f>(0+0+(0+0)+0+0+0)</f>
        <v>0</v>
      </c>
      <c r="G155" s="3">
        <f>(0+0+(0+0)+0+0+0)</f>
        <v>0</v>
      </c>
      <c r="H155" s="3">
        <f>((0+0+(0+0)+0+0+0)+(0+0+(0+0)+0+0+0))</f>
        <v>0</v>
      </c>
      <c r="I155" s="3">
        <f>(((0+0+(0+0)+0+0+0)+(0+0+(0+0)+0+0+0)+(0+0+(0+0)+0+0+0))-((0+0+(0+0)+0+0+0)+(0+0+(0+0)+0+0+0)))</f>
        <v>0</v>
      </c>
    </row>
    <row r="156" spans="1:9" ht="14" x14ac:dyDescent="0.3">
      <c r="A156" s="2" t="s">
        <v>22</v>
      </c>
      <c r="B156" s="3">
        <f>(338327+364498+(202391+185959)+36699+80925+64731)</f>
        <v>1273530</v>
      </c>
      <c r="C156" s="3">
        <f>(0+11562+(0+0)+0+16420+0)</f>
        <v>27982</v>
      </c>
      <c r="D156" s="3">
        <f t="shared" si="3"/>
        <v>0</v>
      </c>
      <c r="E156" s="3">
        <f>((338327+364498+(202391+185959)+36699+80925+64731)+(0+11562+(0+0)+0+16420+0)+(0+0+(0+0)+0+0+0))</f>
        <v>1301512</v>
      </c>
      <c r="F156" s="3">
        <f>(1062+168091+(0+0)+600+7241+16380)</f>
        <v>193374</v>
      </c>
      <c r="G156" s="3">
        <f>(260853+1521381+(0+0)+40385+117292+368861)</f>
        <v>2308772</v>
      </c>
      <c r="H156" s="3">
        <f>((1062+168091+(0+0)+600+7241+16380)+(260853+1521381+(0+0)+40385+117292+368861))</f>
        <v>2502146</v>
      </c>
      <c r="I156" s="3">
        <f>(((338327+364498+(202391+185959)+36699+80925+64731)+(0+11562+(0+0)+0+16420+0)+(0+0+(0+0)+0+0+0))-((1062+168091+(0+0)+600+7241+16380)+(260853+1521381+(0+0)+40385+117292+368861)))</f>
        <v>-1200634</v>
      </c>
    </row>
    <row r="157" spans="1:9" ht="14" x14ac:dyDescent="0.3">
      <c r="A157" s="2" t="s">
        <v>23</v>
      </c>
      <c r="B157" s="3">
        <f>(14986+230127+(26403+0)+28060+44158+9517)</f>
        <v>353251</v>
      </c>
      <c r="C157" s="3">
        <f>(0+5729+(0+0)+0+29686+0)</f>
        <v>35415</v>
      </c>
      <c r="D157" s="3">
        <f t="shared" si="3"/>
        <v>0</v>
      </c>
      <c r="E157" s="3">
        <f>((14986+230127+(26403+0)+28060+44158+9517)+(0+5729+(0+0)+0+29686+0)+(0+0+(0+0)+0+0+0))</f>
        <v>388666</v>
      </c>
      <c r="F157" s="3">
        <f>(0+0+(0+0)+0+0+0)</f>
        <v>0</v>
      </c>
      <c r="G157" s="3">
        <f>(39379+660396+(26009+0)+102160+98210+41228)</f>
        <v>967382</v>
      </c>
      <c r="H157" s="3">
        <f>((0+0+(0+0)+0+0+0)+(39379+660396+(26009+0)+102160+98210+41228))</f>
        <v>967382</v>
      </c>
      <c r="I157" s="3">
        <f>(((14986+230127+(26403+0)+28060+44158+9517)+(0+5729+(0+0)+0+29686+0)+(0+0+(0+0)+0+0+0))-((0+0+(0+0)+0+0+0)+(39379+660396+(26009+0)+102160+98210+41228)))</f>
        <v>-578716</v>
      </c>
    </row>
    <row r="158" spans="1:9" ht="14" x14ac:dyDescent="0.3">
      <c r="A158" s="2" t="s">
        <v>24</v>
      </c>
      <c r="B158" s="3">
        <f>(9663+128227+(207994+124341)+40363+162446+25214)</f>
        <v>698248</v>
      </c>
      <c r="C158" s="3">
        <f>(0+5900+(0+0)+0+0+0)</f>
        <v>5900</v>
      </c>
      <c r="D158" s="3">
        <f t="shared" si="3"/>
        <v>0</v>
      </c>
      <c r="E158" s="3">
        <f>((9663+128227+(207994+124341)+40363+162446+25214)+(0+5900+(0+0)+0+0+0)+(0+0+(0+0)+0+0+0))</f>
        <v>704148</v>
      </c>
      <c r="F158" s="3">
        <f>(0+10251+(0+0)+0+1597+0)</f>
        <v>11848</v>
      </c>
      <c r="G158" s="3">
        <f>(91876+387892+(587400+119888)+81686+203859+36062)</f>
        <v>1508663</v>
      </c>
      <c r="H158" s="3">
        <f>((0+10251+(0+0)+0+1597+0)+(91876+387892+(587400+119888)+81686+203859+36062))</f>
        <v>1520511</v>
      </c>
      <c r="I158" s="3">
        <f>(((9663+128227+(207994+124341)+40363+162446+25214)+(0+5900+(0+0)+0+0+0)+(0+0+(0+0)+0+0+0))-((0+10251+(0+0)+0+1597+0)+(91876+387892+(587400+119888)+81686+203859+36062)))</f>
        <v>-816363</v>
      </c>
    </row>
    <row r="159" spans="1:9" ht="14" x14ac:dyDescent="0.3">
      <c r="A159" s="2" t="s">
        <v>25</v>
      </c>
      <c r="B159" s="3">
        <f>(77228+676025+(400436+347568)+9982+304751+70254)</f>
        <v>1886244</v>
      </c>
      <c r="C159" s="3">
        <f>(0+0+(0+0)+0+0+0)</f>
        <v>0</v>
      </c>
      <c r="D159" s="3">
        <f t="shared" si="3"/>
        <v>0</v>
      </c>
      <c r="E159" s="3">
        <f>((77228+676025+(400436+347568)+9982+304751+70254)+(0+0+(0+0)+0+0+0)+(0+0+(0+0)+0+0+0))</f>
        <v>1886244</v>
      </c>
      <c r="F159" s="3">
        <f>(0+0+(0+0)+0+0+0)</f>
        <v>0</v>
      </c>
      <c r="G159" s="3">
        <f>(60428+170681+(0+0)+0+3326+0)</f>
        <v>234435</v>
      </c>
      <c r="H159" s="3">
        <f>((0+0+(0+0)+0+0+0)+(60428+170681+(0+0)+0+3326+0))</f>
        <v>234435</v>
      </c>
      <c r="I159" s="3">
        <f>(((77228+676025+(400436+347568)+9982+304751+70254)+(0+0+(0+0)+0+0+0)+(0+0+(0+0)+0+0+0))-((0+0+(0+0)+0+0+0)+(60428+170681+(0+0)+0+3326+0)))</f>
        <v>1651809</v>
      </c>
    </row>
    <row r="160" spans="1:9" ht="14" x14ac:dyDescent="0.3">
      <c r="A160" s="2" t="s">
        <v>26</v>
      </c>
      <c r="B160" s="3">
        <f>(165429+172676+(743136+163030)+93138+85752+138473)</f>
        <v>1561634</v>
      </c>
      <c r="C160" s="3">
        <f>(0+0+(0+0)+0+0+0)</f>
        <v>0</v>
      </c>
      <c r="D160" s="3">
        <f t="shared" si="3"/>
        <v>0</v>
      </c>
      <c r="E160" s="3">
        <f>((165429+172676+(743136+163030)+93138+85752+138473)+(0+0+(0+0)+0+0+0)+(0+0+(0+0)+0+0+0))</f>
        <v>1561634</v>
      </c>
      <c r="F160" s="3">
        <f>(0+0+(0+0)+0+0+0)</f>
        <v>0</v>
      </c>
      <c r="G160" s="3">
        <f>(3596+60469+(383+0)+16049+26294+7762)</f>
        <v>114553</v>
      </c>
      <c r="H160" s="3">
        <f>((0+0+(0+0)+0+0+0)+(3596+60469+(383+0)+16049+26294+7762))</f>
        <v>114553</v>
      </c>
      <c r="I160" s="3">
        <f>(((165429+172676+(743136+163030)+93138+85752+138473)+(0+0+(0+0)+0+0+0)+(0+0+(0+0)+0+0+0))-((0+0+(0+0)+0+0+0)+(3596+60469+(383+0)+16049+26294+7762)))</f>
        <v>1447081</v>
      </c>
    </row>
    <row r="161" spans="1:9" ht="14" x14ac:dyDescent="0.3">
      <c r="A161" s="5" t="s">
        <v>34</v>
      </c>
      <c r="B161" s="5"/>
      <c r="C161" s="5"/>
      <c r="D161" s="5"/>
      <c r="E161" s="5"/>
      <c r="F161" s="5"/>
      <c r="G161" s="5"/>
      <c r="H161" s="5"/>
      <c r="I161" s="5"/>
    </row>
    <row r="162" spans="1:9" ht="14" x14ac:dyDescent="0.3">
      <c r="A162" s="4" t="s">
        <v>1</v>
      </c>
      <c r="B162" s="1" t="s">
        <v>2</v>
      </c>
      <c r="C162" s="1" t="s">
        <v>3</v>
      </c>
      <c r="D162" s="1" t="s">
        <v>4</v>
      </c>
      <c r="E162" s="1" t="s">
        <v>5</v>
      </c>
      <c r="F162" s="1" t="s">
        <v>6</v>
      </c>
      <c r="G162" s="1" t="s">
        <v>7</v>
      </c>
      <c r="H162" s="1" t="s">
        <v>8</v>
      </c>
      <c r="I162" s="1" t="s">
        <v>9</v>
      </c>
    </row>
    <row r="163" spans="1:9" ht="14" x14ac:dyDescent="0.3">
      <c r="A163" s="4"/>
      <c r="B163" s="1">
        <v>2023</v>
      </c>
      <c r="C163" s="1">
        <v>2023</v>
      </c>
      <c r="D163" s="1">
        <v>2023</v>
      </c>
      <c r="E163" s="1">
        <v>2023</v>
      </c>
      <c r="F163" s="1">
        <v>2023</v>
      </c>
      <c r="G163" s="1">
        <v>2023</v>
      </c>
      <c r="H163" s="1">
        <v>2023</v>
      </c>
      <c r="I163" s="1">
        <v>2023</v>
      </c>
    </row>
    <row r="164" spans="1:9" ht="14" x14ac:dyDescent="0.3">
      <c r="A164" s="2" t="s">
        <v>10</v>
      </c>
      <c r="B164" s="3">
        <f>358</f>
        <v>358</v>
      </c>
      <c r="C164" s="3">
        <f>0</f>
        <v>0</v>
      </c>
      <c r="D164" s="3">
        <f>0</f>
        <v>0</v>
      </c>
      <c r="E164" s="3">
        <f>(358+0+0)</f>
        <v>358</v>
      </c>
      <c r="F164" s="3">
        <f>0</f>
        <v>0</v>
      </c>
      <c r="G164" s="3">
        <f>20604</f>
        <v>20604</v>
      </c>
      <c r="H164" s="3">
        <f>(0+20604)</f>
        <v>20604</v>
      </c>
      <c r="I164" s="3">
        <f>((358+0+0)-(0+20604))</f>
        <v>-20246</v>
      </c>
    </row>
    <row r="165" spans="1:9" ht="14" x14ac:dyDescent="0.3">
      <c r="A165" s="2" t="s">
        <v>11</v>
      </c>
      <c r="B165" s="3">
        <f>0</f>
        <v>0</v>
      </c>
      <c r="C165" s="3">
        <f>0</f>
        <v>0</v>
      </c>
      <c r="D165" s="3">
        <f>0</f>
        <v>0</v>
      </c>
      <c r="E165" s="3">
        <f>(0+0+0)</f>
        <v>0</v>
      </c>
      <c r="F165" s="3">
        <f>0</f>
        <v>0</v>
      </c>
      <c r="G165" s="3">
        <f>0</f>
        <v>0</v>
      </c>
      <c r="H165" s="3">
        <f>(0+0)</f>
        <v>0</v>
      </c>
      <c r="I165" s="3">
        <f>((0+0+0)-(0+0))</f>
        <v>0</v>
      </c>
    </row>
    <row r="166" spans="1:9" ht="14" x14ac:dyDescent="0.3">
      <c r="A166" s="2" t="s">
        <v>12</v>
      </c>
      <c r="B166" s="3">
        <f>249289</f>
        <v>249289</v>
      </c>
      <c r="C166" s="3">
        <f>1479</f>
        <v>1479</v>
      </c>
      <c r="D166" s="3">
        <f>0</f>
        <v>0</v>
      </c>
      <c r="E166" s="3">
        <f>(249289+1479+0)</f>
        <v>250768</v>
      </c>
      <c r="F166" s="3">
        <f>46350</f>
        <v>46350</v>
      </c>
      <c r="G166" s="3">
        <f>613975</f>
        <v>613975</v>
      </c>
      <c r="H166" s="3">
        <f>(46350+613975)</f>
        <v>660325</v>
      </c>
      <c r="I166" s="3">
        <f>((249289+1479+0)-(46350+613975))</f>
        <v>-409557</v>
      </c>
    </row>
    <row r="167" spans="1:9" ht="14" x14ac:dyDescent="0.3">
      <c r="A167" s="2" t="s">
        <v>13</v>
      </c>
      <c r="B167" s="3">
        <f>76954</f>
        <v>76954</v>
      </c>
      <c r="C167" s="3">
        <f>24631</f>
        <v>24631</v>
      </c>
      <c r="D167" s="3">
        <f>0</f>
        <v>0</v>
      </c>
      <c r="E167" s="3">
        <f>(76954+24631+0)</f>
        <v>101585</v>
      </c>
      <c r="F167" s="3">
        <f>14</f>
        <v>14</v>
      </c>
      <c r="G167" s="3">
        <f>0</f>
        <v>0</v>
      </c>
      <c r="H167" s="3">
        <f>(14+0)</f>
        <v>14</v>
      </c>
      <c r="I167" s="3">
        <f>((76954+24631+0)-(14+0))</f>
        <v>101571</v>
      </c>
    </row>
    <row r="168" spans="1:9" ht="14" x14ac:dyDescent="0.3">
      <c r="A168" s="2" t="s">
        <v>14</v>
      </c>
      <c r="B168" s="3">
        <f>871</f>
        <v>871</v>
      </c>
      <c r="C168" s="3">
        <f>0</f>
        <v>0</v>
      </c>
      <c r="D168" s="3">
        <f>0</f>
        <v>0</v>
      </c>
      <c r="E168" s="3">
        <f>(871+0+0)</f>
        <v>871</v>
      </c>
      <c r="F168" s="3">
        <f>793</f>
        <v>793</v>
      </c>
      <c r="G168" s="3">
        <f>868</f>
        <v>868</v>
      </c>
      <c r="H168" s="3">
        <f>(793+868)</f>
        <v>1661</v>
      </c>
      <c r="I168" s="3">
        <f>((871+0+0)-(793+868))</f>
        <v>-790</v>
      </c>
    </row>
    <row r="169" spans="1:9" ht="14" x14ac:dyDescent="0.3">
      <c r="A169" s="2" t="s">
        <v>15</v>
      </c>
      <c r="B169" s="3">
        <f>51912</f>
        <v>51912</v>
      </c>
      <c r="C169" s="3">
        <f>0</f>
        <v>0</v>
      </c>
      <c r="D169" s="3">
        <f>804</f>
        <v>804</v>
      </c>
      <c r="E169" s="3">
        <f>(51912+0+804)</f>
        <v>52716</v>
      </c>
      <c r="F169" s="3">
        <f>17702</f>
        <v>17702</v>
      </c>
      <c r="G169" s="3">
        <f>90847</f>
        <v>90847</v>
      </c>
      <c r="H169" s="3">
        <f>(17702+90847)</f>
        <v>108549</v>
      </c>
      <c r="I169" s="3">
        <f>((51912+0+804)-(17702+90847))</f>
        <v>-55833</v>
      </c>
    </row>
    <row r="170" spans="1:9" ht="14" x14ac:dyDescent="0.3">
      <c r="A170" s="2" t="s">
        <v>16</v>
      </c>
      <c r="B170" s="3">
        <f>104</f>
        <v>104</v>
      </c>
      <c r="C170" s="3">
        <f>0</f>
        <v>0</v>
      </c>
      <c r="D170" s="3">
        <f>0</f>
        <v>0</v>
      </c>
      <c r="E170" s="3">
        <f>(104+0+0)</f>
        <v>104</v>
      </c>
      <c r="F170" s="3">
        <f>0</f>
        <v>0</v>
      </c>
      <c r="G170" s="3">
        <f>0</f>
        <v>0</v>
      </c>
      <c r="H170" s="3">
        <f>(0+0)</f>
        <v>0</v>
      </c>
      <c r="I170" s="3">
        <f>((104+0+0)-(0+0))</f>
        <v>104</v>
      </c>
    </row>
    <row r="171" spans="1:9" ht="14" x14ac:dyDescent="0.3">
      <c r="A171" s="2" t="s">
        <v>17</v>
      </c>
      <c r="B171" s="3">
        <f>0</f>
        <v>0</v>
      </c>
      <c r="C171" s="3">
        <f>0</f>
        <v>0</v>
      </c>
      <c r="D171" s="3">
        <f>0</f>
        <v>0</v>
      </c>
      <c r="E171" s="3">
        <f>(0+0+0)</f>
        <v>0</v>
      </c>
      <c r="F171" s="3">
        <f>0</f>
        <v>0</v>
      </c>
      <c r="G171" s="3">
        <f>0</f>
        <v>0</v>
      </c>
      <c r="H171" s="3">
        <f>(0+0)</f>
        <v>0</v>
      </c>
      <c r="I171" s="3">
        <f>((0+0+0)-(0+0))</f>
        <v>0</v>
      </c>
    </row>
    <row r="172" spans="1:9" ht="14" x14ac:dyDescent="0.3">
      <c r="A172" s="2" t="s">
        <v>18</v>
      </c>
      <c r="B172" s="3">
        <f>1287</f>
        <v>1287</v>
      </c>
      <c r="C172" s="3">
        <f>0</f>
        <v>0</v>
      </c>
      <c r="D172" s="3">
        <f>0</f>
        <v>0</v>
      </c>
      <c r="E172" s="3">
        <f>(1287+0+0)</f>
        <v>1287</v>
      </c>
      <c r="F172" s="3">
        <f>0</f>
        <v>0</v>
      </c>
      <c r="G172" s="3">
        <f>4300</f>
        <v>4300</v>
      </c>
      <c r="H172" s="3">
        <f>(0+4300)</f>
        <v>4300</v>
      </c>
      <c r="I172" s="3">
        <f>((1287+0+0)-(0+4300))</f>
        <v>-3013</v>
      </c>
    </row>
    <row r="173" spans="1:9" ht="14" x14ac:dyDescent="0.3">
      <c r="A173" s="2" t="s">
        <v>19</v>
      </c>
      <c r="B173" s="3">
        <f>38255</f>
        <v>38255</v>
      </c>
      <c r="C173" s="3">
        <f>0</f>
        <v>0</v>
      </c>
      <c r="D173" s="3">
        <f>0</f>
        <v>0</v>
      </c>
      <c r="E173" s="3">
        <f>(38255+0+0)</f>
        <v>38255</v>
      </c>
      <c r="F173" s="3">
        <f>0</f>
        <v>0</v>
      </c>
      <c r="G173" s="3">
        <f>95245</f>
        <v>95245</v>
      </c>
      <c r="H173" s="3">
        <f>(0+95245)</f>
        <v>95245</v>
      </c>
      <c r="I173" s="3">
        <f>((38255+0+0)-(0+95245))</f>
        <v>-56990</v>
      </c>
    </row>
    <row r="174" spans="1:9" ht="14" x14ac:dyDescent="0.3">
      <c r="A174" s="2" t="s">
        <v>20</v>
      </c>
      <c r="B174" s="3">
        <f>12242</f>
        <v>12242</v>
      </c>
      <c r="C174" s="3">
        <f>2201</f>
        <v>2201</v>
      </c>
      <c r="D174" s="3">
        <f>0</f>
        <v>0</v>
      </c>
      <c r="E174" s="3">
        <f>(12242+2201+0)</f>
        <v>14443</v>
      </c>
      <c r="F174" s="3">
        <f>2167</f>
        <v>2167</v>
      </c>
      <c r="G174" s="3">
        <f>21493</f>
        <v>21493</v>
      </c>
      <c r="H174" s="3">
        <f>(2167+21493)</f>
        <v>23660</v>
      </c>
      <c r="I174" s="3">
        <f>((12242+2201+0)-(2167+21493))</f>
        <v>-9217</v>
      </c>
    </row>
    <row r="175" spans="1:9" ht="14" x14ac:dyDescent="0.3">
      <c r="A175" s="2" t="s">
        <v>21</v>
      </c>
      <c r="B175" s="3">
        <f>0</f>
        <v>0</v>
      </c>
      <c r="C175" s="3">
        <f>0</f>
        <v>0</v>
      </c>
      <c r="D175" s="3">
        <f>0</f>
        <v>0</v>
      </c>
      <c r="E175" s="3">
        <f>(0+0+0)</f>
        <v>0</v>
      </c>
      <c r="F175" s="3">
        <f>0</f>
        <v>0</v>
      </c>
      <c r="G175" s="3">
        <f>0</f>
        <v>0</v>
      </c>
      <c r="H175" s="3">
        <f>(0+0)</f>
        <v>0</v>
      </c>
      <c r="I175" s="3">
        <f>((0+0+0)-(0+0))</f>
        <v>0</v>
      </c>
    </row>
    <row r="176" spans="1:9" ht="14" x14ac:dyDescent="0.3">
      <c r="A176" s="2" t="s">
        <v>22</v>
      </c>
      <c r="B176" s="3">
        <f>338327</f>
        <v>338327</v>
      </c>
      <c r="C176" s="3">
        <f>0</f>
        <v>0</v>
      </c>
      <c r="D176" s="3">
        <f>0</f>
        <v>0</v>
      </c>
      <c r="E176" s="3">
        <f>(338327+0+0)</f>
        <v>338327</v>
      </c>
      <c r="F176" s="3">
        <f>1062</f>
        <v>1062</v>
      </c>
      <c r="G176" s="3">
        <f>260853</f>
        <v>260853</v>
      </c>
      <c r="H176" s="3">
        <f>(1062+260853)</f>
        <v>261915</v>
      </c>
      <c r="I176" s="3">
        <f>((338327+0+0)-(1062+260853))</f>
        <v>76412</v>
      </c>
    </row>
    <row r="177" spans="1:9" ht="14" x14ac:dyDescent="0.3">
      <c r="A177" s="2" t="s">
        <v>23</v>
      </c>
      <c r="B177" s="3">
        <f>14986</f>
        <v>14986</v>
      </c>
      <c r="C177" s="3">
        <f>0</f>
        <v>0</v>
      </c>
      <c r="D177" s="3">
        <f>0</f>
        <v>0</v>
      </c>
      <c r="E177" s="3">
        <f>(14986+0+0)</f>
        <v>14986</v>
      </c>
      <c r="F177" s="3">
        <f>0</f>
        <v>0</v>
      </c>
      <c r="G177" s="3">
        <f>39379</f>
        <v>39379</v>
      </c>
      <c r="H177" s="3">
        <f>(0+39379)</f>
        <v>39379</v>
      </c>
      <c r="I177" s="3">
        <f>((14986+0+0)-(0+39379))</f>
        <v>-24393</v>
      </c>
    </row>
    <row r="178" spans="1:9" ht="14" x14ac:dyDescent="0.3">
      <c r="A178" s="2" t="s">
        <v>24</v>
      </c>
      <c r="B178" s="3">
        <f>9663</f>
        <v>9663</v>
      </c>
      <c r="C178" s="3">
        <f>0</f>
        <v>0</v>
      </c>
      <c r="D178" s="3">
        <f>0</f>
        <v>0</v>
      </c>
      <c r="E178" s="3">
        <f>(9663+0+0)</f>
        <v>9663</v>
      </c>
      <c r="F178" s="3">
        <f>0</f>
        <v>0</v>
      </c>
      <c r="G178" s="3">
        <f>91876</f>
        <v>91876</v>
      </c>
      <c r="H178" s="3">
        <f>(0+91876)</f>
        <v>91876</v>
      </c>
      <c r="I178" s="3">
        <f>((9663+0+0)-(0+91876))</f>
        <v>-82213</v>
      </c>
    </row>
    <row r="179" spans="1:9" ht="14" x14ac:dyDescent="0.3">
      <c r="A179" s="2" t="s">
        <v>25</v>
      </c>
      <c r="B179" s="3">
        <f>77228</f>
        <v>77228</v>
      </c>
      <c r="C179" s="3">
        <f>0</f>
        <v>0</v>
      </c>
      <c r="D179" s="3">
        <f>0</f>
        <v>0</v>
      </c>
      <c r="E179" s="3">
        <f>(77228+0+0)</f>
        <v>77228</v>
      </c>
      <c r="F179" s="3">
        <f>0</f>
        <v>0</v>
      </c>
      <c r="G179" s="3">
        <f>60428</f>
        <v>60428</v>
      </c>
      <c r="H179" s="3">
        <f>(0+60428)</f>
        <v>60428</v>
      </c>
      <c r="I179" s="3">
        <f>((77228+0+0)-(0+60428))</f>
        <v>16800</v>
      </c>
    </row>
    <row r="180" spans="1:9" ht="14" x14ac:dyDescent="0.3">
      <c r="A180" s="2" t="s">
        <v>26</v>
      </c>
      <c r="B180" s="3">
        <f>165429</f>
        <v>165429</v>
      </c>
      <c r="C180" s="3">
        <f>0</f>
        <v>0</v>
      </c>
      <c r="D180" s="3">
        <f>0</f>
        <v>0</v>
      </c>
      <c r="E180" s="3">
        <f>(165429+0+0)</f>
        <v>165429</v>
      </c>
      <c r="F180" s="3">
        <f>0</f>
        <v>0</v>
      </c>
      <c r="G180" s="3">
        <f>3596</f>
        <v>3596</v>
      </c>
      <c r="H180" s="3">
        <f>(0+3596)</f>
        <v>3596</v>
      </c>
      <c r="I180" s="3">
        <f>((165429+0+0)-(0+3596))</f>
        <v>161833</v>
      </c>
    </row>
    <row r="181" spans="1:9" ht="14" x14ac:dyDescent="0.3">
      <c r="A181" s="5" t="s">
        <v>35</v>
      </c>
      <c r="B181" s="5"/>
      <c r="C181" s="5"/>
      <c r="D181" s="5"/>
      <c r="E181" s="5"/>
      <c r="F181" s="5"/>
      <c r="G181" s="5"/>
      <c r="H181" s="5"/>
      <c r="I181" s="5"/>
    </row>
    <row r="182" spans="1:9" ht="14" x14ac:dyDescent="0.3">
      <c r="A182" s="4" t="s">
        <v>1</v>
      </c>
      <c r="B182" s="1" t="s">
        <v>2</v>
      </c>
      <c r="C182" s="1" t="s">
        <v>3</v>
      </c>
      <c r="D182" s="1" t="s">
        <v>4</v>
      </c>
      <c r="E182" s="1" t="s">
        <v>5</v>
      </c>
      <c r="F182" s="1" t="s">
        <v>6</v>
      </c>
      <c r="G182" s="1" t="s">
        <v>7</v>
      </c>
      <c r="H182" s="1" t="s">
        <v>8</v>
      </c>
      <c r="I182" s="1" t="s">
        <v>9</v>
      </c>
    </row>
    <row r="183" spans="1:9" ht="14" x14ac:dyDescent="0.3">
      <c r="A183" s="4"/>
      <c r="B183" s="1">
        <v>2023</v>
      </c>
      <c r="C183" s="1">
        <v>2023</v>
      </c>
      <c r="D183" s="1">
        <v>2023</v>
      </c>
      <c r="E183" s="1">
        <v>2023</v>
      </c>
      <c r="F183" s="1">
        <v>2023</v>
      </c>
      <c r="G183" s="1">
        <v>2023</v>
      </c>
      <c r="H183" s="1">
        <v>2023</v>
      </c>
      <c r="I183" s="1">
        <v>2023</v>
      </c>
    </row>
    <row r="184" spans="1:9" ht="14" x14ac:dyDescent="0.3">
      <c r="A184" s="2" t="s">
        <v>10</v>
      </c>
      <c r="B184" s="3">
        <f>29129</f>
        <v>29129</v>
      </c>
      <c r="C184" s="3">
        <f>0</f>
        <v>0</v>
      </c>
      <c r="D184" s="3">
        <f>0</f>
        <v>0</v>
      </c>
      <c r="E184" s="3">
        <f>(29129+0+0)</f>
        <v>29129</v>
      </c>
      <c r="F184" s="3">
        <f>0</f>
        <v>0</v>
      </c>
      <c r="G184" s="3">
        <f>245822</f>
        <v>245822</v>
      </c>
      <c r="H184" s="3">
        <f>(0+245822)</f>
        <v>245822</v>
      </c>
      <c r="I184" s="3">
        <f>((29129+0+0)-(0+245822))</f>
        <v>-216693</v>
      </c>
    </row>
    <row r="185" spans="1:9" ht="14" x14ac:dyDescent="0.3">
      <c r="A185" s="2" t="s">
        <v>11</v>
      </c>
      <c r="B185" s="3">
        <f>0</f>
        <v>0</v>
      </c>
      <c r="C185" s="3">
        <f>0</f>
        <v>0</v>
      </c>
      <c r="D185" s="3">
        <f>0</f>
        <v>0</v>
      </c>
      <c r="E185" s="3">
        <f>(0+0+0)</f>
        <v>0</v>
      </c>
      <c r="F185" s="3">
        <f>0</f>
        <v>0</v>
      </c>
      <c r="G185" s="3">
        <f>0</f>
        <v>0</v>
      </c>
      <c r="H185" s="3">
        <f>(0+0)</f>
        <v>0</v>
      </c>
      <c r="I185" s="3">
        <f>((0+0+0)-(0+0))</f>
        <v>0</v>
      </c>
    </row>
    <row r="186" spans="1:9" ht="14" x14ac:dyDescent="0.3">
      <c r="A186" s="2" t="s">
        <v>12</v>
      </c>
      <c r="B186" s="3">
        <f>726394</f>
        <v>726394</v>
      </c>
      <c r="C186" s="3">
        <f>24516</f>
        <v>24516</v>
      </c>
      <c r="D186" s="3">
        <f>0</f>
        <v>0</v>
      </c>
      <c r="E186" s="3">
        <f>(726394+24516+0)</f>
        <v>750910</v>
      </c>
      <c r="F186" s="3">
        <f>308985</f>
        <v>308985</v>
      </c>
      <c r="G186" s="3">
        <f>1005785</f>
        <v>1005785</v>
      </c>
      <c r="H186" s="3">
        <f>(308985+1005785)</f>
        <v>1314770</v>
      </c>
      <c r="I186" s="3">
        <f>((726394+24516+0)-(308985+1005785))</f>
        <v>-563860</v>
      </c>
    </row>
    <row r="187" spans="1:9" ht="14" x14ac:dyDescent="0.3">
      <c r="A187" s="2" t="s">
        <v>13</v>
      </c>
      <c r="B187" s="3">
        <f>778828</f>
        <v>778828</v>
      </c>
      <c r="C187" s="3">
        <f>273519</f>
        <v>273519</v>
      </c>
      <c r="D187" s="3">
        <f>0</f>
        <v>0</v>
      </c>
      <c r="E187" s="3">
        <f>(778828+273519+0)</f>
        <v>1052347</v>
      </c>
      <c r="F187" s="3">
        <f>61281</f>
        <v>61281</v>
      </c>
      <c r="G187" s="3">
        <f>83124</f>
        <v>83124</v>
      </c>
      <c r="H187" s="3">
        <f>(61281+83124)</f>
        <v>144405</v>
      </c>
      <c r="I187" s="3">
        <f>((778828+273519+0)-(61281+83124))</f>
        <v>907942</v>
      </c>
    </row>
    <row r="188" spans="1:9" ht="14" x14ac:dyDescent="0.3">
      <c r="A188" s="2" t="s">
        <v>14</v>
      </c>
      <c r="B188" s="3">
        <f>2712</f>
        <v>2712</v>
      </c>
      <c r="C188" s="3">
        <f>0</f>
        <v>0</v>
      </c>
      <c r="D188" s="3">
        <f>0</f>
        <v>0</v>
      </c>
      <c r="E188" s="3">
        <f>(2712+0+0)</f>
        <v>2712</v>
      </c>
      <c r="F188" s="3">
        <f>17626</f>
        <v>17626</v>
      </c>
      <c r="G188" s="3">
        <f>18534</f>
        <v>18534</v>
      </c>
      <c r="H188" s="3">
        <f>(17626+18534)</f>
        <v>36160</v>
      </c>
      <c r="I188" s="3">
        <f>((2712+0+0)-(17626+18534))</f>
        <v>-33448</v>
      </c>
    </row>
    <row r="189" spans="1:9" ht="14" x14ac:dyDescent="0.3">
      <c r="A189" s="2" t="s">
        <v>15</v>
      </c>
      <c r="B189" s="3">
        <f>26568</f>
        <v>26568</v>
      </c>
      <c r="C189" s="3">
        <f>2093</f>
        <v>2093</v>
      </c>
      <c r="D189" s="3">
        <f>55</f>
        <v>55</v>
      </c>
      <c r="E189" s="3">
        <f>(26568+2093+55)</f>
        <v>28716</v>
      </c>
      <c r="F189" s="3">
        <f>34398</f>
        <v>34398</v>
      </c>
      <c r="G189" s="3">
        <f>541801</f>
        <v>541801</v>
      </c>
      <c r="H189" s="3">
        <f>(34398+541801)</f>
        <v>576199</v>
      </c>
      <c r="I189" s="3">
        <f>((26568+2093+55)-(34398+541801))</f>
        <v>-547483</v>
      </c>
    </row>
    <row r="190" spans="1:9" ht="14" x14ac:dyDescent="0.3">
      <c r="A190" s="2" t="s">
        <v>16</v>
      </c>
      <c r="B190" s="3">
        <f>264295</f>
        <v>264295</v>
      </c>
      <c r="C190" s="3">
        <f>0</f>
        <v>0</v>
      </c>
      <c r="D190" s="3">
        <f>0</f>
        <v>0</v>
      </c>
      <c r="E190" s="3">
        <f>(264295+0+0)</f>
        <v>264295</v>
      </c>
      <c r="F190" s="3">
        <f>0</f>
        <v>0</v>
      </c>
      <c r="G190" s="3">
        <f>0</f>
        <v>0</v>
      </c>
      <c r="H190" s="3">
        <f>(0+0)</f>
        <v>0</v>
      </c>
      <c r="I190" s="3">
        <f>((264295+0+0)-(0+0))</f>
        <v>264295</v>
      </c>
    </row>
    <row r="191" spans="1:9" ht="14" x14ac:dyDescent="0.3">
      <c r="A191" s="2" t="s">
        <v>17</v>
      </c>
      <c r="B191" s="3">
        <f>6449</f>
        <v>6449</v>
      </c>
      <c r="C191" s="3">
        <f>62566</f>
        <v>62566</v>
      </c>
      <c r="D191" s="3">
        <f>0</f>
        <v>0</v>
      </c>
      <c r="E191" s="3">
        <f>(6449+62566+0)</f>
        <v>69015</v>
      </c>
      <c r="F191" s="3">
        <f>0</f>
        <v>0</v>
      </c>
      <c r="G191" s="3">
        <f>0</f>
        <v>0</v>
      </c>
      <c r="H191" s="3">
        <f>(0+0)</f>
        <v>0</v>
      </c>
      <c r="I191" s="3">
        <f>((6449+62566+0)-(0+0))</f>
        <v>69015</v>
      </c>
    </row>
    <row r="192" spans="1:9" ht="14" x14ac:dyDescent="0.3">
      <c r="A192" s="2" t="s">
        <v>18</v>
      </c>
      <c r="B192" s="3">
        <f>49619</f>
        <v>49619</v>
      </c>
      <c r="C192" s="3">
        <f>16815</f>
        <v>16815</v>
      </c>
      <c r="D192" s="3">
        <f>0</f>
        <v>0</v>
      </c>
      <c r="E192" s="3">
        <f>(49619+16815+0)</f>
        <v>66434</v>
      </c>
      <c r="F192" s="3">
        <f>10034</f>
        <v>10034</v>
      </c>
      <c r="G192" s="3">
        <f>91547</f>
        <v>91547</v>
      </c>
      <c r="H192" s="3">
        <f>(10034+91547)</f>
        <v>101581</v>
      </c>
      <c r="I192" s="3">
        <f>((49619+16815+0)-(10034+91547))</f>
        <v>-35147</v>
      </c>
    </row>
    <row r="193" spans="1:9" ht="14" x14ac:dyDescent="0.3">
      <c r="A193" s="2" t="s">
        <v>19</v>
      </c>
      <c r="B193" s="3">
        <f>364153</f>
        <v>364153</v>
      </c>
      <c r="C193" s="3">
        <f>0</f>
        <v>0</v>
      </c>
      <c r="D193" s="3">
        <f>0</f>
        <v>0</v>
      </c>
      <c r="E193" s="3">
        <f>(364153+0+0)</f>
        <v>364153</v>
      </c>
      <c r="F193" s="3">
        <f>0</f>
        <v>0</v>
      </c>
      <c r="G193" s="3">
        <f>490927</f>
        <v>490927</v>
      </c>
      <c r="H193" s="3">
        <f>(0+490927)</f>
        <v>490927</v>
      </c>
      <c r="I193" s="3">
        <f>((364153+0+0)-(0+490927))</f>
        <v>-126774</v>
      </c>
    </row>
    <row r="194" spans="1:9" ht="14" x14ac:dyDescent="0.3">
      <c r="A194" s="2" t="s">
        <v>20</v>
      </c>
      <c r="B194" s="3">
        <f>70956</f>
        <v>70956</v>
      </c>
      <c r="C194" s="3">
        <f>16299</f>
        <v>16299</v>
      </c>
      <c r="D194" s="3">
        <f>0</f>
        <v>0</v>
      </c>
      <c r="E194" s="3">
        <f>(70956+16299+0)</f>
        <v>87255</v>
      </c>
      <c r="F194" s="3">
        <f>36886</f>
        <v>36886</v>
      </c>
      <c r="G194" s="3">
        <f>85056</f>
        <v>85056</v>
      </c>
      <c r="H194" s="3">
        <f>(36886+85056)</f>
        <v>121942</v>
      </c>
      <c r="I194" s="3">
        <f>((70956+16299+0)-(36886+85056))</f>
        <v>-34687</v>
      </c>
    </row>
    <row r="195" spans="1:9" ht="14" x14ac:dyDescent="0.3">
      <c r="A195" s="2" t="s">
        <v>21</v>
      </c>
      <c r="B195" s="3">
        <f>0</f>
        <v>0</v>
      </c>
      <c r="C195" s="3">
        <f>0</f>
        <v>0</v>
      </c>
      <c r="D195" s="3">
        <f>0</f>
        <v>0</v>
      </c>
      <c r="E195" s="3">
        <f>(0+0+0)</f>
        <v>0</v>
      </c>
      <c r="F195" s="3">
        <f>0</f>
        <v>0</v>
      </c>
      <c r="G195" s="3">
        <f>0</f>
        <v>0</v>
      </c>
      <c r="H195" s="3">
        <f>(0+0)</f>
        <v>0</v>
      </c>
      <c r="I195" s="3">
        <f>((0+0+0)-(0+0))</f>
        <v>0</v>
      </c>
    </row>
    <row r="196" spans="1:9" ht="14" x14ac:dyDescent="0.3">
      <c r="A196" s="2" t="s">
        <v>22</v>
      </c>
      <c r="B196" s="3">
        <f>364498</f>
        <v>364498</v>
      </c>
      <c r="C196" s="3">
        <f>11562</f>
        <v>11562</v>
      </c>
      <c r="D196" s="3">
        <f>0</f>
        <v>0</v>
      </c>
      <c r="E196" s="3">
        <f>(364498+11562+0)</f>
        <v>376060</v>
      </c>
      <c r="F196" s="3">
        <f>168091</f>
        <v>168091</v>
      </c>
      <c r="G196" s="3">
        <f>1521381</f>
        <v>1521381</v>
      </c>
      <c r="H196" s="3">
        <f>(168091+1521381)</f>
        <v>1689472</v>
      </c>
      <c r="I196" s="3">
        <f>((364498+11562+0)-(168091+1521381))</f>
        <v>-1313412</v>
      </c>
    </row>
    <row r="197" spans="1:9" ht="14" x14ac:dyDescent="0.3">
      <c r="A197" s="2" t="s">
        <v>23</v>
      </c>
      <c r="B197" s="3">
        <f>230127</f>
        <v>230127</v>
      </c>
      <c r="C197" s="3">
        <f>5729</f>
        <v>5729</v>
      </c>
      <c r="D197" s="3">
        <f>0</f>
        <v>0</v>
      </c>
      <c r="E197" s="3">
        <f>(230127+5729+0)</f>
        <v>235856</v>
      </c>
      <c r="F197" s="3">
        <f>0</f>
        <v>0</v>
      </c>
      <c r="G197" s="3">
        <f>660396</f>
        <v>660396</v>
      </c>
      <c r="H197" s="3">
        <f>(0+660396)</f>
        <v>660396</v>
      </c>
      <c r="I197" s="3">
        <f>((230127+5729+0)-(0+660396))</f>
        <v>-424540</v>
      </c>
    </row>
    <row r="198" spans="1:9" ht="14" x14ac:dyDescent="0.3">
      <c r="A198" s="2" t="s">
        <v>24</v>
      </c>
      <c r="B198" s="3">
        <f>128227</f>
        <v>128227</v>
      </c>
      <c r="C198" s="3">
        <f>5900</f>
        <v>5900</v>
      </c>
      <c r="D198" s="3">
        <f>0</f>
        <v>0</v>
      </c>
      <c r="E198" s="3">
        <f>(128227+5900+0)</f>
        <v>134127</v>
      </c>
      <c r="F198" s="3">
        <f>10251</f>
        <v>10251</v>
      </c>
      <c r="G198" s="3">
        <f>387892</f>
        <v>387892</v>
      </c>
      <c r="H198" s="3">
        <f>(10251+387892)</f>
        <v>398143</v>
      </c>
      <c r="I198" s="3">
        <f>((128227+5900+0)-(10251+387892))</f>
        <v>-264016</v>
      </c>
    </row>
    <row r="199" spans="1:9" ht="14" x14ac:dyDescent="0.3">
      <c r="A199" s="2" t="s">
        <v>25</v>
      </c>
      <c r="B199" s="3">
        <f>676025</f>
        <v>676025</v>
      </c>
      <c r="C199" s="3">
        <f>0</f>
        <v>0</v>
      </c>
      <c r="D199" s="3">
        <f>0</f>
        <v>0</v>
      </c>
      <c r="E199" s="3">
        <f>(676025+0+0)</f>
        <v>676025</v>
      </c>
      <c r="F199" s="3">
        <f>0</f>
        <v>0</v>
      </c>
      <c r="G199" s="3">
        <f>170681</f>
        <v>170681</v>
      </c>
      <c r="H199" s="3">
        <f>(0+170681)</f>
        <v>170681</v>
      </c>
      <c r="I199" s="3">
        <f>((676025+0+0)-(0+170681))</f>
        <v>505344</v>
      </c>
    </row>
    <row r="200" spans="1:9" ht="14" x14ac:dyDescent="0.3">
      <c r="A200" s="2" t="s">
        <v>26</v>
      </c>
      <c r="B200" s="3">
        <f>172676</f>
        <v>172676</v>
      </c>
      <c r="C200" s="3">
        <f>0</f>
        <v>0</v>
      </c>
      <c r="D200" s="3">
        <f>0</f>
        <v>0</v>
      </c>
      <c r="E200" s="3">
        <f>(172676+0+0)</f>
        <v>172676</v>
      </c>
      <c r="F200" s="3">
        <f>0</f>
        <v>0</v>
      </c>
      <c r="G200" s="3">
        <f>60469</f>
        <v>60469</v>
      </c>
      <c r="H200" s="3">
        <f>(0+60469)</f>
        <v>60469</v>
      </c>
      <c r="I200" s="3">
        <f>((172676+0+0)-(0+60469))</f>
        <v>112207</v>
      </c>
    </row>
    <row r="201" spans="1:9" ht="14" x14ac:dyDescent="0.3">
      <c r="A201" s="5" t="s">
        <v>36</v>
      </c>
      <c r="B201" s="5"/>
      <c r="C201" s="5"/>
      <c r="D201" s="5"/>
      <c r="E201" s="5"/>
      <c r="F201" s="5"/>
      <c r="G201" s="5"/>
      <c r="H201" s="5"/>
      <c r="I201" s="5"/>
    </row>
    <row r="202" spans="1:9" ht="14" x14ac:dyDescent="0.3">
      <c r="A202" s="4" t="s">
        <v>1</v>
      </c>
      <c r="B202" s="1" t="s">
        <v>2</v>
      </c>
      <c r="C202" s="1" t="s">
        <v>3</v>
      </c>
      <c r="D202" s="1" t="s">
        <v>4</v>
      </c>
      <c r="E202" s="1" t="s">
        <v>5</v>
      </c>
      <c r="F202" s="1" t="s">
        <v>6</v>
      </c>
      <c r="G202" s="1" t="s">
        <v>7</v>
      </c>
      <c r="H202" s="1" t="s">
        <v>8</v>
      </c>
      <c r="I202" s="1" t="s">
        <v>9</v>
      </c>
    </row>
    <row r="203" spans="1:9" ht="14" x14ac:dyDescent="0.3">
      <c r="A203" s="4"/>
      <c r="B203" s="1">
        <v>2023</v>
      </c>
      <c r="C203" s="1">
        <v>2023</v>
      </c>
      <c r="D203" s="1">
        <v>2023</v>
      </c>
      <c r="E203" s="1">
        <v>2023</v>
      </c>
      <c r="F203" s="1">
        <v>2023</v>
      </c>
      <c r="G203" s="1">
        <v>2023</v>
      </c>
      <c r="H203" s="1">
        <v>2023</v>
      </c>
      <c r="I203" s="1">
        <v>2023</v>
      </c>
    </row>
    <row r="204" spans="1:9" ht="14" x14ac:dyDescent="0.3">
      <c r="A204" s="2" t="s">
        <v>10</v>
      </c>
      <c r="B204" s="3">
        <f>224640</f>
        <v>224640</v>
      </c>
      <c r="C204" s="3">
        <f>0</f>
        <v>0</v>
      </c>
      <c r="D204" s="3">
        <f>0</f>
        <v>0</v>
      </c>
      <c r="E204" s="3">
        <f>(224640+0+0)</f>
        <v>224640</v>
      </c>
      <c r="F204" s="3">
        <f>0</f>
        <v>0</v>
      </c>
      <c r="G204" s="3">
        <f>138067</f>
        <v>138067</v>
      </c>
      <c r="H204" s="3">
        <f>(0+138067)</f>
        <v>138067</v>
      </c>
      <c r="I204" s="3">
        <f>((224640+0+0)-(0+138067))</f>
        <v>86573</v>
      </c>
    </row>
    <row r="205" spans="1:9" ht="14" x14ac:dyDescent="0.3">
      <c r="A205" s="2" t="s">
        <v>11</v>
      </c>
      <c r="B205" s="3">
        <f>0</f>
        <v>0</v>
      </c>
      <c r="C205" s="3">
        <f>0</f>
        <v>0</v>
      </c>
      <c r="D205" s="3">
        <f>0</f>
        <v>0</v>
      </c>
      <c r="E205" s="3">
        <f>(0+0+0)</f>
        <v>0</v>
      </c>
      <c r="F205" s="3">
        <f>0</f>
        <v>0</v>
      </c>
      <c r="G205" s="3">
        <f>0</f>
        <v>0</v>
      </c>
      <c r="H205" s="3">
        <f>(0+0)</f>
        <v>0</v>
      </c>
      <c r="I205" s="3">
        <f>((0+0+0)-(0+0))</f>
        <v>0</v>
      </c>
    </row>
    <row r="206" spans="1:9" ht="14" x14ac:dyDescent="0.3">
      <c r="A206" s="2" t="s">
        <v>12</v>
      </c>
      <c r="B206" s="3">
        <f>412916</f>
        <v>412916</v>
      </c>
      <c r="C206" s="3">
        <f>0</f>
        <v>0</v>
      </c>
      <c r="D206" s="3">
        <f>0</f>
        <v>0</v>
      </c>
      <c r="E206" s="3">
        <f>(412916+0+0)</f>
        <v>412916</v>
      </c>
      <c r="F206" s="3">
        <f>(-918)</f>
        <v>-918</v>
      </c>
      <c r="G206" s="3">
        <f>6584</f>
        <v>6584</v>
      </c>
      <c r="H206" s="3">
        <f>((-918)+6584)</f>
        <v>5666</v>
      </c>
      <c r="I206" s="3">
        <f>((412916+0+0)-((-918)+6584))</f>
        <v>407250</v>
      </c>
    </row>
    <row r="207" spans="1:9" ht="14" x14ac:dyDescent="0.3">
      <c r="A207" s="2" t="s">
        <v>13</v>
      </c>
      <c r="B207" s="3">
        <f>715857</f>
        <v>715857</v>
      </c>
      <c r="C207" s="3">
        <f>0</f>
        <v>0</v>
      </c>
      <c r="D207" s="3">
        <f>0</f>
        <v>0</v>
      </c>
      <c r="E207" s="3">
        <f>(715857+0+0)</f>
        <v>715857</v>
      </c>
      <c r="F207" s="3">
        <f>0</f>
        <v>0</v>
      </c>
      <c r="G207" s="3">
        <f>0</f>
        <v>0</v>
      </c>
      <c r="H207" s="3">
        <f>(0+0)</f>
        <v>0</v>
      </c>
      <c r="I207" s="3">
        <f>((715857+0+0)-(0+0))</f>
        <v>715857</v>
      </c>
    </row>
    <row r="208" spans="1:9" ht="14" x14ac:dyDescent="0.3">
      <c r="A208" s="2" t="s">
        <v>14</v>
      </c>
      <c r="B208" s="3">
        <f>328220</f>
        <v>328220</v>
      </c>
      <c r="C208" s="3">
        <f>0</f>
        <v>0</v>
      </c>
      <c r="D208" s="3">
        <f>0</f>
        <v>0</v>
      </c>
      <c r="E208" s="3">
        <f>(328220+0+0)</f>
        <v>328220</v>
      </c>
      <c r="F208" s="3">
        <f>0</f>
        <v>0</v>
      </c>
      <c r="G208" s="3">
        <f>0</f>
        <v>0</v>
      </c>
      <c r="H208" s="3">
        <f>(0+0)</f>
        <v>0</v>
      </c>
      <c r="I208" s="3">
        <f>((328220+0+0)-(0+0))</f>
        <v>328220</v>
      </c>
    </row>
    <row r="209" spans="1:9" ht="14" x14ac:dyDescent="0.3">
      <c r="A209" s="2" t="s">
        <v>15</v>
      </c>
      <c r="B209" s="3">
        <f>208877</f>
        <v>208877</v>
      </c>
      <c r="C209" s="3">
        <f>0</f>
        <v>0</v>
      </c>
      <c r="D209" s="3">
        <f>0</f>
        <v>0</v>
      </c>
      <c r="E209" s="3">
        <f>(208877+0+0)</f>
        <v>208877</v>
      </c>
      <c r="F209" s="3">
        <f>0</f>
        <v>0</v>
      </c>
      <c r="G209" s="3">
        <f>6941</f>
        <v>6941</v>
      </c>
      <c r="H209" s="3">
        <f>(0+6941)</f>
        <v>6941</v>
      </c>
      <c r="I209" s="3">
        <f>((208877+0+0)-(0+6941))</f>
        <v>201936</v>
      </c>
    </row>
    <row r="210" spans="1:9" ht="14" x14ac:dyDescent="0.3">
      <c r="A210" s="2" t="s">
        <v>16</v>
      </c>
      <c r="B210" s="3">
        <f>899</f>
        <v>899</v>
      </c>
      <c r="C210" s="3">
        <f>0</f>
        <v>0</v>
      </c>
      <c r="D210" s="3">
        <f>0</f>
        <v>0</v>
      </c>
      <c r="E210" s="3">
        <f>(899+0+0)</f>
        <v>899</v>
      </c>
      <c r="F210" s="3">
        <f>0</f>
        <v>0</v>
      </c>
      <c r="G210" s="3">
        <f>0</f>
        <v>0</v>
      </c>
      <c r="H210" s="3">
        <f>(0+0)</f>
        <v>0</v>
      </c>
      <c r="I210" s="3">
        <f>((899+0+0)-(0+0))</f>
        <v>899</v>
      </c>
    </row>
    <row r="211" spans="1:9" ht="14" x14ac:dyDescent="0.3">
      <c r="A211" s="2" t="s">
        <v>17</v>
      </c>
      <c r="B211" s="3">
        <f>43150</f>
        <v>43150</v>
      </c>
      <c r="C211" s="3">
        <f>0</f>
        <v>0</v>
      </c>
      <c r="D211" s="3">
        <f>0</f>
        <v>0</v>
      </c>
      <c r="E211" s="3">
        <f>(43150+0+0)</f>
        <v>43150</v>
      </c>
      <c r="F211" s="3">
        <f>0</f>
        <v>0</v>
      </c>
      <c r="G211" s="3">
        <f>0</f>
        <v>0</v>
      </c>
      <c r="H211" s="3">
        <f>(0+0)</f>
        <v>0</v>
      </c>
      <c r="I211" s="3">
        <f>((43150+0+0)-(0+0))</f>
        <v>43150</v>
      </c>
    </row>
    <row r="212" spans="1:9" ht="14" x14ac:dyDescent="0.3">
      <c r="A212" s="2" t="s">
        <v>18</v>
      </c>
      <c r="B212" s="3">
        <f>26537</f>
        <v>26537</v>
      </c>
      <c r="C212" s="3">
        <f>0</f>
        <v>0</v>
      </c>
      <c r="D212" s="3">
        <f>0</f>
        <v>0</v>
      </c>
      <c r="E212" s="3">
        <f>(26537+0+0)</f>
        <v>26537</v>
      </c>
      <c r="F212" s="3">
        <f>0</f>
        <v>0</v>
      </c>
      <c r="G212" s="3">
        <f>0</f>
        <v>0</v>
      </c>
      <c r="H212" s="3">
        <f>(0+0)</f>
        <v>0</v>
      </c>
      <c r="I212" s="3">
        <f>((26537+0+0)-(0+0))</f>
        <v>26537</v>
      </c>
    </row>
    <row r="213" spans="1:9" ht="14" x14ac:dyDescent="0.3">
      <c r="A213" s="2" t="s">
        <v>19</v>
      </c>
      <c r="B213" s="3">
        <f>238570</f>
        <v>238570</v>
      </c>
      <c r="C213" s="3">
        <f>0</f>
        <v>0</v>
      </c>
      <c r="D213" s="3">
        <f>0</f>
        <v>0</v>
      </c>
      <c r="E213" s="3">
        <f>(238570+0+0)</f>
        <v>238570</v>
      </c>
      <c r="F213" s="3">
        <f>0</f>
        <v>0</v>
      </c>
      <c r="G213" s="3">
        <f>6670</f>
        <v>6670</v>
      </c>
      <c r="H213" s="3">
        <f>(0+6670)</f>
        <v>6670</v>
      </c>
      <c r="I213" s="3">
        <f>((238570+0+0)-(0+6670))</f>
        <v>231900</v>
      </c>
    </row>
    <row r="214" spans="1:9" ht="14" x14ac:dyDescent="0.3">
      <c r="A214" s="2" t="s">
        <v>20</v>
      </c>
      <c r="B214" s="3">
        <f>18714</f>
        <v>18714</v>
      </c>
      <c r="C214" s="3">
        <f>0</f>
        <v>0</v>
      </c>
      <c r="D214" s="3">
        <f>0</f>
        <v>0</v>
      </c>
      <c r="E214" s="3">
        <f>(18714+0+0)</f>
        <v>18714</v>
      </c>
      <c r="F214" s="3">
        <f>0</f>
        <v>0</v>
      </c>
      <c r="G214" s="3">
        <f>9167</f>
        <v>9167</v>
      </c>
      <c r="H214" s="3">
        <f>(0+9167)</f>
        <v>9167</v>
      </c>
      <c r="I214" s="3">
        <f>((18714+0+0)-(0+9167))</f>
        <v>9547</v>
      </c>
    </row>
    <row r="215" spans="1:9" ht="14" x14ac:dyDescent="0.3">
      <c r="A215" s="2" t="s">
        <v>21</v>
      </c>
      <c r="B215" s="3">
        <f>0</f>
        <v>0</v>
      </c>
      <c r="C215" s="3">
        <f>0</f>
        <v>0</v>
      </c>
      <c r="D215" s="3">
        <f>0</f>
        <v>0</v>
      </c>
      <c r="E215" s="3">
        <f>(0+0+0)</f>
        <v>0</v>
      </c>
      <c r="F215" s="3">
        <f>0</f>
        <v>0</v>
      </c>
      <c r="G215" s="3">
        <f>0</f>
        <v>0</v>
      </c>
      <c r="H215" s="3">
        <f>(0+0)</f>
        <v>0</v>
      </c>
      <c r="I215" s="3">
        <f>((0+0+0)-(0+0))</f>
        <v>0</v>
      </c>
    </row>
    <row r="216" spans="1:9" ht="14" x14ac:dyDescent="0.3">
      <c r="A216" s="2" t="s">
        <v>22</v>
      </c>
      <c r="B216" s="3">
        <f>202391</f>
        <v>202391</v>
      </c>
      <c r="C216" s="3">
        <f>0</f>
        <v>0</v>
      </c>
      <c r="D216" s="3">
        <f>0</f>
        <v>0</v>
      </c>
      <c r="E216" s="3">
        <f>(202391+0+0)</f>
        <v>202391</v>
      </c>
      <c r="F216" s="3">
        <f>0</f>
        <v>0</v>
      </c>
      <c r="G216" s="3">
        <f>0</f>
        <v>0</v>
      </c>
      <c r="H216" s="3">
        <f>(0+0)</f>
        <v>0</v>
      </c>
      <c r="I216" s="3">
        <f>((202391+0+0)-(0+0))</f>
        <v>202391</v>
      </c>
    </row>
    <row r="217" spans="1:9" ht="14" x14ac:dyDescent="0.3">
      <c r="A217" s="2" t="s">
        <v>23</v>
      </c>
      <c r="B217" s="3">
        <f>26403</f>
        <v>26403</v>
      </c>
      <c r="C217" s="3">
        <f>0</f>
        <v>0</v>
      </c>
      <c r="D217" s="3">
        <f>0</f>
        <v>0</v>
      </c>
      <c r="E217" s="3">
        <f>(26403+0+0)</f>
        <v>26403</v>
      </c>
      <c r="F217" s="3">
        <f>0</f>
        <v>0</v>
      </c>
      <c r="G217" s="3">
        <f>26009</f>
        <v>26009</v>
      </c>
      <c r="H217" s="3">
        <f>(0+26009)</f>
        <v>26009</v>
      </c>
      <c r="I217" s="3">
        <f>((26403+0+0)-(0+26009))</f>
        <v>394</v>
      </c>
    </row>
    <row r="218" spans="1:9" ht="14" x14ac:dyDescent="0.3">
      <c r="A218" s="2" t="s">
        <v>24</v>
      </c>
      <c r="B218" s="3">
        <f>207994</f>
        <v>207994</v>
      </c>
      <c r="C218" s="3">
        <f>0</f>
        <v>0</v>
      </c>
      <c r="D218" s="3">
        <f>0</f>
        <v>0</v>
      </c>
      <c r="E218" s="3">
        <f>(207994+0+0)</f>
        <v>207994</v>
      </c>
      <c r="F218" s="3">
        <f>0</f>
        <v>0</v>
      </c>
      <c r="G218" s="3">
        <f>587400</f>
        <v>587400</v>
      </c>
      <c r="H218" s="3">
        <f>(0+587400)</f>
        <v>587400</v>
      </c>
      <c r="I218" s="3">
        <f>((207994+0+0)-(0+587400))</f>
        <v>-379406</v>
      </c>
    </row>
    <row r="219" spans="1:9" ht="14" x14ac:dyDescent="0.3">
      <c r="A219" s="2" t="s">
        <v>25</v>
      </c>
      <c r="B219" s="3">
        <f>400436</f>
        <v>400436</v>
      </c>
      <c r="C219" s="3">
        <f>0</f>
        <v>0</v>
      </c>
      <c r="D219" s="3">
        <f>0</f>
        <v>0</v>
      </c>
      <c r="E219" s="3">
        <f>(400436+0+0)</f>
        <v>400436</v>
      </c>
      <c r="F219" s="3">
        <f>0</f>
        <v>0</v>
      </c>
      <c r="G219" s="3">
        <f>0</f>
        <v>0</v>
      </c>
      <c r="H219" s="3">
        <f>(0+0)</f>
        <v>0</v>
      </c>
      <c r="I219" s="3">
        <f>((400436+0+0)-(0+0))</f>
        <v>400436</v>
      </c>
    </row>
    <row r="220" spans="1:9" ht="14" x14ac:dyDescent="0.3">
      <c r="A220" s="2" t="s">
        <v>26</v>
      </c>
      <c r="B220" s="3">
        <f>743136</f>
        <v>743136</v>
      </c>
      <c r="C220" s="3">
        <f>0</f>
        <v>0</v>
      </c>
      <c r="D220" s="3">
        <f>0</f>
        <v>0</v>
      </c>
      <c r="E220" s="3">
        <f>(743136+0+0)</f>
        <v>743136</v>
      </c>
      <c r="F220" s="3">
        <f>0</f>
        <v>0</v>
      </c>
      <c r="G220" s="3">
        <f>383</f>
        <v>383</v>
      </c>
      <c r="H220" s="3">
        <f>(0+383)</f>
        <v>383</v>
      </c>
      <c r="I220" s="3">
        <f>((743136+0+0)-(0+383))</f>
        <v>742753</v>
      </c>
    </row>
    <row r="221" spans="1:9" ht="14" x14ac:dyDescent="0.3">
      <c r="A221" s="5" t="s">
        <v>37</v>
      </c>
      <c r="B221" s="5"/>
      <c r="C221" s="5"/>
      <c r="D221" s="5"/>
      <c r="E221" s="5"/>
      <c r="F221" s="5"/>
      <c r="G221" s="5"/>
      <c r="H221" s="5"/>
      <c r="I221" s="5"/>
    </row>
    <row r="222" spans="1:9" ht="14" x14ac:dyDescent="0.3">
      <c r="A222" s="4" t="s">
        <v>1</v>
      </c>
      <c r="B222" s="1" t="s">
        <v>2</v>
      </c>
      <c r="C222" s="1" t="s">
        <v>3</v>
      </c>
      <c r="D222" s="1" t="s">
        <v>4</v>
      </c>
      <c r="E222" s="1" t="s">
        <v>5</v>
      </c>
      <c r="F222" s="1" t="s">
        <v>6</v>
      </c>
      <c r="G222" s="1" t="s">
        <v>7</v>
      </c>
      <c r="H222" s="1" t="s">
        <v>8</v>
      </c>
      <c r="I222" s="1" t="s">
        <v>9</v>
      </c>
    </row>
    <row r="223" spans="1:9" ht="14" x14ac:dyDescent="0.3">
      <c r="A223" s="4"/>
      <c r="B223" s="1">
        <v>2023</v>
      </c>
      <c r="C223" s="1">
        <v>2023</v>
      </c>
      <c r="D223" s="1">
        <v>2023</v>
      </c>
      <c r="E223" s="1">
        <v>2023</v>
      </c>
      <c r="F223" s="1">
        <v>2023</v>
      </c>
      <c r="G223" s="1">
        <v>2023</v>
      </c>
      <c r="H223" s="1">
        <v>2023</v>
      </c>
      <c r="I223" s="1">
        <v>2023</v>
      </c>
    </row>
    <row r="224" spans="1:9" ht="14" x14ac:dyDescent="0.3">
      <c r="A224" s="2" t="s">
        <v>10</v>
      </c>
      <c r="B224" s="3">
        <f>262342</f>
        <v>262342</v>
      </c>
      <c r="C224" s="3">
        <f>0</f>
        <v>0</v>
      </c>
      <c r="D224" s="3">
        <f>0</f>
        <v>0</v>
      </c>
      <c r="E224" s="3">
        <f>(262342+0+0)</f>
        <v>262342</v>
      </c>
      <c r="F224" s="3">
        <f>0</f>
        <v>0</v>
      </c>
      <c r="G224" s="3">
        <f>161239</f>
        <v>161239</v>
      </c>
      <c r="H224" s="3">
        <f>(0+161239)</f>
        <v>161239</v>
      </c>
      <c r="I224" s="3">
        <f>((262342+0+0)-(0+161239))</f>
        <v>101103</v>
      </c>
    </row>
    <row r="225" spans="1:9" ht="14" x14ac:dyDescent="0.3">
      <c r="A225" s="2" t="s">
        <v>11</v>
      </c>
      <c r="B225" s="3">
        <f>0</f>
        <v>0</v>
      </c>
      <c r="C225" s="3">
        <f>0</f>
        <v>0</v>
      </c>
      <c r="D225" s="3">
        <f>0</f>
        <v>0</v>
      </c>
      <c r="E225" s="3">
        <f>(0+0+0)</f>
        <v>0</v>
      </c>
      <c r="F225" s="3">
        <f>0</f>
        <v>0</v>
      </c>
      <c r="G225" s="3">
        <f>0</f>
        <v>0</v>
      </c>
      <c r="H225" s="3">
        <f>(0+0)</f>
        <v>0</v>
      </c>
      <c r="I225" s="3">
        <f>((0+0+0)-(0+0))</f>
        <v>0</v>
      </c>
    </row>
    <row r="226" spans="1:9" ht="14" x14ac:dyDescent="0.3">
      <c r="A226" s="2" t="s">
        <v>12</v>
      </c>
      <c r="B226" s="3">
        <f>481647</f>
        <v>481647</v>
      </c>
      <c r="C226" s="3">
        <f>0</f>
        <v>0</v>
      </c>
      <c r="D226" s="3">
        <f>0</f>
        <v>0</v>
      </c>
      <c r="E226" s="3">
        <f>(481647+0+0)</f>
        <v>481647</v>
      </c>
      <c r="F226" s="3">
        <f>0</f>
        <v>0</v>
      </c>
      <c r="G226" s="3">
        <f>5133</f>
        <v>5133</v>
      </c>
      <c r="H226" s="3">
        <f>(0+5133)</f>
        <v>5133</v>
      </c>
      <c r="I226" s="3">
        <f>((481647+0+0)-(0+5133))</f>
        <v>476514</v>
      </c>
    </row>
    <row r="227" spans="1:9" ht="14" x14ac:dyDescent="0.3">
      <c r="A227" s="2" t="s">
        <v>13</v>
      </c>
      <c r="B227" s="3">
        <f>748427</f>
        <v>748427</v>
      </c>
      <c r="C227" s="3">
        <f>0</f>
        <v>0</v>
      </c>
      <c r="D227" s="3">
        <f>0</f>
        <v>0</v>
      </c>
      <c r="E227" s="3">
        <f>(748427+0+0)</f>
        <v>748427</v>
      </c>
      <c r="F227" s="3">
        <f>0</f>
        <v>0</v>
      </c>
      <c r="G227" s="3">
        <f>0</f>
        <v>0</v>
      </c>
      <c r="H227" s="3">
        <f>(0+0)</f>
        <v>0</v>
      </c>
      <c r="I227" s="3">
        <f>((748427+0+0)-(0+0))</f>
        <v>748427</v>
      </c>
    </row>
    <row r="228" spans="1:9" ht="14" x14ac:dyDescent="0.3">
      <c r="A228" s="2" t="s">
        <v>14</v>
      </c>
      <c r="B228" s="3">
        <f>127424</f>
        <v>127424</v>
      </c>
      <c r="C228" s="3">
        <f>0</f>
        <v>0</v>
      </c>
      <c r="D228" s="3">
        <f>0</f>
        <v>0</v>
      </c>
      <c r="E228" s="3">
        <f>(127424+0+0)</f>
        <v>127424</v>
      </c>
      <c r="F228" s="3">
        <f>0</f>
        <v>0</v>
      </c>
      <c r="G228" s="3">
        <f>0</f>
        <v>0</v>
      </c>
      <c r="H228" s="3">
        <f>(0+0)</f>
        <v>0</v>
      </c>
      <c r="I228" s="3">
        <f>((127424+0+0)-(0+0))</f>
        <v>127424</v>
      </c>
    </row>
    <row r="229" spans="1:9" ht="14" x14ac:dyDescent="0.3">
      <c r="A229" s="2" t="s">
        <v>15</v>
      </c>
      <c r="B229" s="3">
        <f>181687</f>
        <v>181687</v>
      </c>
      <c r="C229" s="3">
        <f>0</f>
        <v>0</v>
      </c>
      <c r="D229" s="3">
        <f>0</f>
        <v>0</v>
      </c>
      <c r="E229" s="3">
        <f>(181687+0+0)</f>
        <v>181687</v>
      </c>
      <c r="F229" s="3">
        <f>0</f>
        <v>0</v>
      </c>
      <c r="G229" s="3">
        <f>6037</f>
        <v>6037</v>
      </c>
      <c r="H229" s="3">
        <f>(0+6037)</f>
        <v>6037</v>
      </c>
      <c r="I229" s="3">
        <f>((181687+0+0)-(0+6037))</f>
        <v>175650</v>
      </c>
    </row>
    <row r="230" spans="1:9" ht="14" x14ac:dyDescent="0.3">
      <c r="A230" s="2" t="s">
        <v>16</v>
      </c>
      <c r="B230" s="3">
        <f>0</f>
        <v>0</v>
      </c>
      <c r="C230" s="3">
        <f>0</f>
        <v>0</v>
      </c>
      <c r="D230" s="3">
        <f>0</f>
        <v>0</v>
      </c>
      <c r="E230" s="3">
        <f>(0+0+0)</f>
        <v>0</v>
      </c>
      <c r="F230" s="3">
        <f>0</f>
        <v>0</v>
      </c>
      <c r="G230" s="3">
        <f>0</f>
        <v>0</v>
      </c>
      <c r="H230" s="3">
        <f>(0+0)</f>
        <v>0</v>
      </c>
      <c r="I230" s="3">
        <f>((0+0+0)-(0+0))</f>
        <v>0</v>
      </c>
    </row>
    <row r="231" spans="1:9" ht="14" x14ac:dyDescent="0.3">
      <c r="A231" s="2" t="s">
        <v>17</v>
      </c>
      <c r="B231" s="3">
        <f>149092</f>
        <v>149092</v>
      </c>
      <c r="C231" s="3">
        <f>0</f>
        <v>0</v>
      </c>
      <c r="D231" s="3">
        <f>0</f>
        <v>0</v>
      </c>
      <c r="E231" s="3">
        <f>(149092+0+0)</f>
        <v>149092</v>
      </c>
      <c r="F231" s="3">
        <f>0</f>
        <v>0</v>
      </c>
      <c r="G231" s="3">
        <f>0</f>
        <v>0</v>
      </c>
      <c r="H231" s="3">
        <f>(0+0)</f>
        <v>0</v>
      </c>
      <c r="I231" s="3">
        <f>((149092+0+0)-(0+0))</f>
        <v>149092</v>
      </c>
    </row>
    <row r="232" spans="1:9" ht="14" x14ac:dyDescent="0.3">
      <c r="A232" s="2" t="s">
        <v>18</v>
      </c>
      <c r="B232" s="3">
        <f>2586</f>
        <v>2586</v>
      </c>
      <c r="C232" s="3">
        <f>0</f>
        <v>0</v>
      </c>
      <c r="D232" s="3">
        <f>0</f>
        <v>0</v>
      </c>
      <c r="E232" s="3">
        <f>(2586+0+0)</f>
        <v>2586</v>
      </c>
      <c r="F232" s="3">
        <f>0</f>
        <v>0</v>
      </c>
      <c r="G232" s="3">
        <f>0</f>
        <v>0</v>
      </c>
      <c r="H232" s="3">
        <f>(0+0)</f>
        <v>0</v>
      </c>
      <c r="I232" s="3">
        <f>((2586+0+0)-(0+0))</f>
        <v>2586</v>
      </c>
    </row>
    <row r="233" spans="1:9" ht="14" x14ac:dyDescent="0.3">
      <c r="A233" s="2" t="s">
        <v>19</v>
      </c>
      <c r="B233" s="3">
        <f>195193</f>
        <v>195193</v>
      </c>
      <c r="C233" s="3">
        <f>0</f>
        <v>0</v>
      </c>
      <c r="D233" s="3">
        <f>0</f>
        <v>0</v>
      </c>
      <c r="E233" s="3">
        <f>(195193+0+0)</f>
        <v>195193</v>
      </c>
      <c r="F233" s="3">
        <f>0</f>
        <v>0</v>
      </c>
      <c r="G233" s="3">
        <f>5457</f>
        <v>5457</v>
      </c>
      <c r="H233" s="3">
        <f>(0+5457)</f>
        <v>5457</v>
      </c>
      <c r="I233" s="3">
        <f>((195193+0+0)-(0+5457))</f>
        <v>189736</v>
      </c>
    </row>
    <row r="234" spans="1:9" ht="14" x14ac:dyDescent="0.3">
      <c r="A234" s="2" t="s">
        <v>20</v>
      </c>
      <c r="B234" s="3">
        <f>352</f>
        <v>352</v>
      </c>
      <c r="C234" s="3">
        <f>0</f>
        <v>0</v>
      </c>
      <c r="D234" s="3">
        <f>0</f>
        <v>0</v>
      </c>
      <c r="E234" s="3">
        <f>(352+0+0)</f>
        <v>352</v>
      </c>
      <c r="F234" s="3">
        <f>0</f>
        <v>0</v>
      </c>
      <c r="G234" s="3">
        <f>0</f>
        <v>0</v>
      </c>
      <c r="H234" s="3">
        <f>(0+0)</f>
        <v>0</v>
      </c>
      <c r="I234" s="3">
        <f>((352+0+0)-(0+0))</f>
        <v>352</v>
      </c>
    </row>
    <row r="235" spans="1:9" ht="14" x14ac:dyDescent="0.3">
      <c r="A235" s="2" t="s">
        <v>21</v>
      </c>
      <c r="B235" s="3">
        <f>0</f>
        <v>0</v>
      </c>
      <c r="C235" s="3">
        <f>0</f>
        <v>0</v>
      </c>
      <c r="D235" s="3">
        <f>0</f>
        <v>0</v>
      </c>
      <c r="E235" s="3">
        <f>(0+0+0)</f>
        <v>0</v>
      </c>
      <c r="F235" s="3">
        <f>0</f>
        <v>0</v>
      </c>
      <c r="G235" s="3">
        <f>0</f>
        <v>0</v>
      </c>
      <c r="H235" s="3">
        <f>(0+0)</f>
        <v>0</v>
      </c>
      <c r="I235" s="3">
        <f>((0+0+0)-(0+0))</f>
        <v>0</v>
      </c>
    </row>
    <row r="236" spans="1:9" ht="14" x14ac:dyDescent="0.3">
      <c r="A236" s="2" t="s">
        <v>22</v>
      </c>
      <c r="B236" s="3">
        <f>185959</f>
        <v>185959</v>
      </c>
      <c r="C236" s="3">
        <f>0</f>
        <v>0</v>
      </c>
      <c r="D236" s="3">
        <f>0</f>
        <v>0</v>
      </c>
      <c r="E236" s="3">
        <f>(185959+0+0)</f>
        <v>185959</v>
      </c>
      <c r="F236" s="3">
        <f>0</f>
        <v>0</v>
      </c>
      <c r="G236" s="3">
        <f>0</f>
        <v>0</v>
      </c>
      <c r="H236" s="3">
        <f>(0+0)</f>
        <v>0</v>
      </c>
      <c r="I236" s="3">
        <f>((185959+0+0)-(0+0))</f>
        <v>185959</v>
      </c>
    </row>
    <row r="237" spans="1:9" ht="14" x14ac:dyDescent="0.3">
      <c r="A237" s="2" t="s">
        <v>23</v>
      </c>
      <c r="B237" s="3">
        <f>0</f>
        <v>0</v>
      </c>
      <c r="C237" s="3">
        <f>0</f>
        <v>0</v>
      </c>
      <c r="D237" s="3">
        <f>0</f>
        <v>0</v>
      </c>
      <c r="E237" s="3">
        <f>(0+0+0)</f>
        <v>0</v>
      </c>
      <c r="F237" s="3">
        <f>0</f>
        <v>0</v>
      </c>
      <c r="G237" s="3">
        <f>0</f>
        <v>0</v>
      </c>
      <c r="H237" s="3">
        <f>(0+0)</f>
        <v>0</v>
      </c>
      <c r="I237" s="3">
        <f>((0+0+0)-(0+0))</f>
        <v>0</v>
      </c>
    </row>
    <row r="238" spans="1:9" ht="14" x14ac:dyDescent="0.3">
      <c r="A238" s="2" t="s">
        <v>24</v>
      </c>
      <c r="B238" s="3">
        <f>124341</f>
        <v>124341</v>
      </c>
      <c r="C238" s="3">
        <f>0</f>
        <v>0</v>
      </c>
      <c r="D238" s="3">
        <f>0</f>
        <v>0</v>
      </c>
      <c r="E238" s="3">
        <f>(124341+0+0)</f>
        <v>124341</v>
      </c>
      <c r="F238" s="3">
        <f>0</f>
        <v>0</v>
      </c>
      <c r="G238" s="3">
        <f>119888</f>
        <v>119888</v>
      </c>
      <c r="H238" s="3">
        <f>(0+119888)</f>
        <v>119888</v>
      </c>
      <c r="I238" s="3">
        <f>((124341+0+0)-(0+119888))</f>
        <v>4453</v>
      </c>
    </row>
    <row r="239" spans="1:9" ht="14" x14ac:dyDescent="0.3">
      <c r="A239" s="2" t="s">
        <v>25</v>
      </c>
      <c r="B239" s="3">
        <f>347568</f>
        <v>347568</v>
      </c>
      <c r="C239" s="3">
        <f>0</f>
        <v>0</v>
      </c>
      <c r="D239" s="3">
        <f>0</f>
        <v>0</v>
      </c>
      <c r="E239" s="3">
        <f>(347568+0+0)</f>
        <v>347568</v>
      </c>
      <c r="F239" s="3">
        <f>0</f>
        <v>0</v>
      </c>
      <c r="G239" s="3">
        <f>0</f>
        <v>0</v>
      </c>
      <c r="H239" s="3">
        <f>(0+0)</f>
        <v>0</v>
      </c>
      <c r="I239" s="3">
        <f>((347568+0+0)-(0+0))</f>
        <v>347568</v>
      </c>
    </row>
    <row r="240" spans="1:9" ht="14" x14ac:dyDescent="0.3">
      <c r="A240" s="2" t="s">
        <v>26</v>
      </c>
      <c r="B240" s="3">
        <f>163030</f>
        <v>163030</v>
      </c>
      <c r="C240" s="3">
        <f>0</f>
        <v>0</v>
      </c>
      <c r="D240" s="3">
        <f>0</f>
        <v>0</v>
      </c>
      <c r="E240" s="3">
        <f>(163030+0+0)</f>
        <v>163030</v>
      </c>
      <c r="F240" s="3">
        <f>0</f>
        <v>0</v>
      </c>
      <c r="G240" s="3">
        <f>0</f>
        <v>0</v>
      </c>
      <c r="H240" s="3">
        <f>(0+0)</f>
        <v>0</v>
      </c>
      <c r="I240" s="3">
        <f>((163030+0+0)-(0+0))</f>
        <v>163030</v>
      </c>
    </row>
    <row r="241" spans="1:9" ht="14" x14ac:dyDescent="0.3">
      <c r="A241" s="5" t="s">
        <v>38</v>
      </c>
      <c r="B241" s="5"/>
      <c r="C241" s="5"/>
      <c r="D241" s="5"/>
      <c r="E241" s="5"/>
      <c r="F241" s="5"/>
      <c r="G241" s="5"/>
      <c r="H241" s="5"/>
      <c r="I241" s="5"/>
    </row>
    <row r="242" spans="1:9" ht="14" x14ac:dyDescent="0.3">
      <c r="A242" s="4" t="s">
        <v>1</v>
      </c>
      <c r="B242" s="1" t="s">
        <v>2</v>
      </c>
      <c r="C242" s="1" t="s">
        <v>3</v>
      </c>
      <c r="D242" s="1" t="s">
        <v>4</v>
      </c>
      <c r="E242" s="1" t="s">
        <v>5</v>
      </c>
      <c r="F242" s="1" t="s">
        <v>6</v>
      </c>
      <c r="G242" s="1" t="s">
        <v>7</v>
      </c>
      <c r="H242" s="1" t="s">
        <v>8</v>
      </c>
      <c r="I242" s="1" t="s">
        <v>9</v>
      </c>
    </row>
    <row r="243" spans="1:9" ht="14" x14ac:dyDescent="0.3">
      <c r="A243" s="4"/>
      <c r="B243" s="1">
        <v>2023</v>
      </c>
      <c r="C243" s="1">
        <v>2023</v>
      </c>
      <c r="D243" s="1">
        <v>2023</v>
      </c>
      <c r="E243" s="1">
        <v>2023</v>
      </c>
      <c r="F243" s="1">
        <v>2023</v>
      </c>
      <c r="G243" s="1">
        <v>2023</v>
      </c>
      <c r="H243" s="1">
        <v>2023</v>
      </c>
      <c r="I243" s="1">
        <v>2023</v>
      </c>
    </row>
    <row r="244" spans="1:9" ht="14" x14ac:dyDescent="0.3">
      <c r="A244" s="2" t="s">
        <v>10</v>
      </c>
      <c r="B244" s="3">
        <f>561</f>
        <v>561</v>
      </c>
      <c r="C244" s="3">
        <f>0</f>
        <v>0</v>
      </c>
      <c r="D244" s="3">
        <f>0</f>
        <v>0</v>
      </c>
      <c r="E244" s="3">
        <f>(561+0+0)</f>
        <v>561</v>
      </c>
      <c r="F244" s="3">
        <f>0</f>
        <v>0</v>
      </c>
      <c r="G244" s="3">
        <f>30231</f>
        <v>30231</v>
      </c>
      <c r="H244" s="3">
        <f>(0+30231)</f>
        <v>30231</v>
      </c>
      <c r="I244" s="3">
        <f>((561+0+0)-(0+30231))</f>
        <v>-29670</v>
      </c>
    </row>
    <row r="245" spans="1:9" ht="14" x14ac:dyDescent="0.3">
      <c r="A245" s="2" t="s">
        <v>11</v>
      </c>
      <c r="B245" s="3">
        <f>0</f>
        <v>0</v>
      </c>
      <c r="C245" s="3">
        <f>0</f>
        <v>0</v>
      </c>
      <c r="D245" s="3">
        <f>0</f>
        <v>0</v>
      </c>
      <c r="E245" s="3">
        <f>(0+0+0)</f>
        <v>0</v>
      </c>
      <c r="F245" s="3">
        <f>0</f>
        <v>0</v>
      </c>
      <c r="G245" s="3">
        <f>0</f>
        <v>0</v>
      </c>
      <c r="H245" s="3">
        <f>(0+0)</f>
        <v>0</v>
      </c>
      <c r="I245" s="3">
        <f>((0+0+0)-(0+0))</f>
        <v>0</v>
      </c>
    </row>
    <row r="246" spans="1:9" ht="14" x14ac:dyDescent="0.3">
      <c r="A246" s="2" t="s">
        <v>12</v>
      </c>
      <c r="B246" s="3">
        <f>76715</f>
        <v>76715</v>
      </c>
      <c r="C246" s="3">
        <f>0</f>
        <v>0</v>
      </c>
      <c r="D246" s="3">
        <f>0</f>
        <v>0</v>
      </c>
      <c r="E246" s="3">
        <f>(76715+0+0)</f>
        <v>76715</v>
      </c>
      <c r="F246" s="3">
        <f>0</f>
        <v>0</v>
      </c>
      <c r="G246" s="3">
        <f>127491</f>
        <v>127491</v>
      </c>
      <c r="H246" s="3">
        <f>(0+127491)</f>
        <v>127491</v>
      </c>
      <c r="I246" s="3">
        <f>((76715+0+0)-(0+127491))</f>
        <v>-50776</v>
      </c>
    </row>
    <row r="247" spans="1:9" ht="14" x14ac:dyDescent="0.3">
      <c r="A247" s="2" t="s">
        <v>13</v>
      </c>
      <c r="B247" s="3">
        <f>114176</f>
        <v>114176</v>
      </c>
      <c r="C247" s="3">
        <f>0</f>
        <v>0</v>
      </c>
      <c r="D247" s="3">
        <f>0</f>
        <v>0</v>
      </c>
      <c r="E247" s="3">
        <f>(114176+0+0)</f>
        <v>114176</v>
      </c>
      <c r="F247" s="3">
        <f>6</f>
        <v>6</v>
      </c>
      <c r="G247" s="3">
        <f>14067</f>
        <v>14067</v>
      </c>
      <c r="H247" s="3">
        <f>(6+14067)</f>
        <v>14073</v>
      </c>
      <c r="I247" s="3">
        <f>((114176+0+0)-(6+14067))</f>
        <v>100103</v>
      </c>
    </row>
    <row r="248" spans="1:9" ht="14" x14ac:dyDescent="0.3">
      <c r="A248" s="2" t="s">
        <v>14</v>
      </c>
      <c r="B248" s="3">
        <f>15417</f>
        <v>15417</v>
      </c>
      <c r="C248" s="3">
        <f>0</f>
        <v>0</v>
      </c>
      <c r="D248" s="3">
        <f>0</f>
        <v>0</v>
      </c>
      <c r="E248" s="3">
        <f>(15417+0+0)</f>
        <v>15417</v>
      </c>
      <c r="F248" s="3">
        <f>0</f>
        <v>0</v>
      </c>
      <c r="G248" s="3">
        <f>3427</f>
        <v>3427</v>
      </c>
      <c r="H248" s="3">
        <f>(0+3427)</f>
        <v>3427</v>
      </c>
      <c r="I248" s="3">
        <f>((15417+0+0)-(0+3427))</f>
        <v>11990</v>
      </c>
    </row>
    <row r="249" spans="1:9" ht="14" x14ac:dyDescent="0.3">
      <c r="A249" s="2" t="s">
        <v>15</v>
      </c>
      <c r="B249" s="3">
        <f>214451</f>
        <v>214451</v>
      </c>
      <c r="C249" s="3">
        <f>0</f>
        <v>0</v>
      </c>
      <c r="D249" s="3">
        <f>0</f>
        <v>0</v>
      </c>
      <c r="E249" s="3">
        <f>(214451+0+0)</f>
        <v>214451</v>
      </c>
      <c r="F249" s="3">
        <f>85</f>
        <v>85</v>
      </c>
      <c r="G249" s="3">
        <f>334051</f>
        <v>334051</v>
      </c>
      <c r="H249" s="3">
        <f>(85+334051)</f>
        <v>334136</v>
      </c>
      <c r="I249" s="3">
        <f>((214451+0+0)-(85+334051))</f>
        <v>-119685</v>
      </c>
    </row>
    <row r="250" spans="1:9" ht="14" x14ac:dyDescent="0.3">
      <c r="A250" s="2" t="s">
        <v>16</v>
      </c>
      <c r="B250" s="3">
        <f>22366</f>
        <v>22366</v>
      </c>
      <c r="C250" s="3">
        <f>0</f>
        <v>0</v>
      </c>
      <c r="D250" s="3">
        <f>0</f>
        <v>0</v>
      </c>
      <c r="E250" s="3">
        <f>(22366+0+0)</f>
        <v>22366</v>
      </c>
      <c r="F250" s="3">
        <f>0</f>
        <v>0</v>
      </c>
      <c r="G250" s="3">
        <f>0</f>
        <v>0</v>
      </c>
      <c r="H250" s="3">
        <f>(0+0)</f>
        <v>0</v>
      </c>
      <c r="I250" s="3">
        <f>((22366+0+0)-(0+0))</f>
        <v>22366</v>
      </c>
    </row>
    <row r="251" spans="1:9" ht="14" x14ac:dyDescent="0.3">
      <c r="A251" s="2" t="s">
        <v>17</v>
      </c>
      <c r="B251" s="3">
        <f>226</f>
        <v>226</v>
      </c>
      <c r="C251" s="3">
        <f>0</f>
        <v>0</v>
      </c>
      <c r="D251" s="3">
        <f>0</f>
        <v>0</v>
      </c>
      <c r="E251" s="3">
        <f>(226+0+0)</f>
        <v>226</v>
      </c>
      <c r="F251" s="3">
        <f>0</f>
        <v>0</v>
      </c>
      <c r="G251" s="3">
        <f>0</f>
        <v>0</v>
      </c>
      <c r="H251" s="3">
        <f>(0+0)</f>
        <v>0</v>
      </c>
      <c r="I251" s="3">
        <f>((226+0+0)-(0+0))</f>
        <v>226</v>
      </c>
    </row>
    <row r="252" spans="1:9" ht="14" x14ac:dyDescent="0.3">
      <c r="A252" s="2" t="s">
        <v>18</v>
      </c>
      <c r="B252" s="3">
        <f>5866</f>
        <v>5866</v>
      </c>
      <c r="C252" s="3">
        <f>0</f>
        <v>0</v>
      </c>
      <c r="D252" s="3">
        <f>0</f>
        <v>0</v>
      </c>
      <c r="E252" s="3">
        <f>(5866+0+0)</f>
        <v>5866</v>
      </c>
      <c r="F252" s="3">
        <f>0</f>
        <v>0</v>
      </c>
      <c r="G252" s="3">
        <f>896</f>
        <v>896</v>
      </c>
      <c r="H252" s="3">
        <f>(0+896)</f>
        <v>896</v>
      </c>
      <c r="I252" s="3">
        <f>((5866+0+0)-(0+896))</f>
        <v>4970</v>
      </c>
    </row>
    <row r="253" spans="1:9" ht="14" x14ac:dyDescent="0.3">
      <c r="A253" s="2" t="s">
        <v>19</v>
      </c>
      <c r="B253" s="3">
        <f>61480</f>
        <v>61480</v>
      </c>
      <c r="C253" s="3">
        <f>0</f>
        <v>0</v>
      </c>
      <c r="D253" s="3">
        <f>0</f>
        <v>0</v>
      </c>
      <c r="E253" s="3">
        <f>(61480+0+0)</f>
        <v>61480</v>
      </c>
      <c r="F253" s="3">
        <f>0</f>
        <v>0</v>
      </c>
      <c r="G253" s="3">
        <f>112202</f>
        <v>112202</v>
      </c>
      <c r="H253" s="3">
        <f>(0+112202)</f>
        <v>112202</v>
      </c>
      <c r="I253" s="3">
        <f>((61480+0+0)-(0+112202))</f>
        <v>-50722</v>
      </c>
    </row>
    <row r="254" spans="1:9" ht="14" x14ac:dyDescent="0.3">
      <c r="A254" s="2" t="s">
        <v>20</v>
      </c>
      <c r="B254" s="3">
        <f>40272</f>
        <v>40272</v>
      </c>
      <c r="C254" s="3">
        <f>0</f>
        <v>0</v>
      </c>
      <c r="D254" s="3">
        <f>0</f>
        <v>0</v>
      </c>
      <c r="E254" s="3">
        <f>(40272+0+0)</f>
        <v>40272</v>
      </c>
      <c r="F254" s="3">
        <f>0</f>
        <v>0</v>
      </c>
      <c r="G254" s="3">
        <f>20343</f>
        <v>20343</v>
      </c>
      <c r="H254" s="3">
        <f>(0+20343)</f>
        <v>20343</v>
      </c>
      <c r="I254" s="3">
        <f>((40272+0+0)-(0+20343))</f>
        <v>19929</v>
      </c>
    </row>
    <row r="255" spans="1:9" ht="14" x14ac:dyDescent="0.3">
      <c r="A255" s="2" t="s">
        <v>21</v>
      </c>
      <c r="B255" s="3">
        <f>0</f>
        <v>0</v>
      </c>
      <c r="C255" s="3">
        <f>0</f>
        <v>0</v>
      </c>
      <c r="D255" s="3">
        <f>0</f>
        <v>0</v>
      </c>
      <c r="E255" s="3">
        <f>(0+0+0)</f>
        <v>0</v>
      </c>
      <c r="F255" s="3">
        <f>0</f>
        <v>0</v>
      </c>
      <c r="G255" s="3">
        <f>0</f>
        <v>0</v>
      </c>
      <c r="H255" s="3">
        <f>(0+0)</f>
        <v>0</v>
      </c>
      <c r="I255" s="3">
        <f>((0+0+0)-(0+0))</f>
        <v>0</v>
      </c>
    </row>
    <row r="256" spans="1:9" ht="14" x14ac:dyDescent="0.3">
      <c r="A256" s="2" t="s">
        <v>22</v>
      </c>
      <c r="B256" s="3">
        <f>36699</f>
        <v>36699</v>
      </c>
      <c r="C256" s="3">
        <f>0</f>
        <v>0</v>
      </c>
      <c r="D256" s="3">
        <f>0</f>
        <v>0</v>
      </c>
      <c r="E256" s="3">
        <f>(36699+0+0)</f>
        <v>36699</v>
      </c>
      <c r="F256" s="3">
        <f>600</f>
        <v>600</v>
      </c>
      <c r="G256" s="3">
        <f>40385</f>
        <v>40385</v>
      </c>
      <c r="H256" s="3">
        <f>(600+40385)</f>
        <v>40985</v>
      </c>
      <c r="I256" s="3">
        <f>((36699+0+0)-(600+40385))</f>
        <v>-4286</v>
      </c>
    </row>
    <row r="257" spans="1:9" ht="14" x14ac:dyDescent="0.3">
      <c r="A257" s="2" t="s">
        <v>23</v>
      </c>
      <c r="B257" s="3">
        <f>28060</f>
        <v>28060</v>
      </c>
      <c r="C257" s="3">
        <f>0</f>
        <v>0</v>
      </c>
      <c r="D257" s="3">
        <f>0</f>
        <v>0</v>
      </c>
      <c r="E257" s="3">
        <f>(28060+0+0)</f>
        <v>28060</v>
      </c>
      <c r="F257" s="3">
        <f>0</f>
        <v>0</v>
      </c>
      <c r="G257" s="3">
        <f>102160</f>
        <v>102160</v>
      </c>
      <c r="H257" s="3">
        <f>(0+102160)</f>
        <v>102160</v>
      </c>
      <c r="I257" s="3">
        <f>((28060+0+0)-(0+102160))</f>
        <v>-74100</v>
      </c>
    </row>
    <row r="258" spans="1:9" ht="14" x14ac:dyDescent="0.3">
      <c r="A258" s="2" t="s">
        <v>24</v>
      </c>
      <c r="B258" s="3">
        <f>40363</f>
        <v>40363</v>
      </c>
      <c r="C258" s="3">
        <f>0</f>
        <v>0</v>
      </c>
      <c r="D258" s="3">
        <f>0</f>
        <v>0</v>
      </c>
      <c r="E258" s="3">
        <f>(40363+0+0)</f>
        <v>40363</v>
      </c>
      <c r="F258" s="3">
        <f>0</f>
        <v>0</v>
      </c>
      <c r="G258" s="3">
        <f>81686</f>
        <v>81686</v>
      </c>
      <c r="H258" s="3">
        <f>(0+81686)</f>
        <v>81686</v>
      </c>
      <c r="I258" s="3">
        <f>((40363+0+0)-(0+81686))</f>
        <v>-41323</v>
      </c>
    </row>
    <row r="259" spans="1:9" ht="14" x14ac:dyDescent="0.3">
      <c r="A259" s="2" t="s">
        <v>25</v>
      </c>
      <c r="B259" s="3">
        <f>9982</f>
        <v>9982</v>
      </c>
      <c r="C259" s="3">
        <f>0</f>
        <v>0</v>
      </c>
      <c r="D259" s="3">
        <f>0</f>
        <v>0</v>
      </c>
      <c r="E259" s="3">
        <f>(9982+0+0)</f>
        <v>9982</v>
      </c>
      <c r="F259" s="3">
        <f>0</f>
        <v>0</v>
      </c>
      <c r="G259" s="3">
        <f>0</f>
        <v>0</v>
      </c>
      <c r="H259" s="3">
        <f>(0+0)</f>
        <v>0</v>
      </c>
      <c r="I259" s="3">
        <f>((9982+0+0)-(0+0))</f>
        <v>9982</v>
      </c>
    </row>
    <row r="260" spans="1:9" ht="14" x14ac:dyDescent="0.3">
      <c r="A260" s="2" t="s">
        <v>26</v>
      </c>
      <c r="B260" s="3">
        <f>93138</f>
        <v>93138</v>
      </c>
      <c r="C260" s="3">
        <f>0</f>
        <v>0</v>
      </c>
      <c r="D260" s="3">
        <f>0</f>
        <v>0</v>
      </c>
      <c r="E260" s="3">
        <f>(93138+0+0)</f>
        <v>93138</v>
      </c>
      <c r="F260" s="3">
        <f>0</f>
        <v>0</v>
      </c>
      <c r="G260" s="3">
        <f>16049</f>
        <v>16049</v>
      </c>
      <c r="H260" s="3">
        <f>(0+16049)</f>
        <v>16049</v>
      </c>
      <c r="I260" s="3">
        <f>((93138+0+0)-(0+16049))</f>
        <v>77089</v>
      </c>
    </row>
  </sheetData>
  <mergeCells count="26">
    <mergeCell ref="A241:I241"/>
    <mergeCell ref="A242:A243"/>
    <mergeCell ref="A1:I1"/>
    <mergeCell ref="A21:I21"/>
    <mergeCell ref="A41:I41"/>
    <mergeCell ref="A61:I61"/>
    <mergeCell ref="A81:I81"/>
    <mergeCell ref="A101:I101"/>
    <mergeCell ref="A121:I121"/>
    <mergeCell ref="A141:I141"/>
    <mergeCell ref="A161:I161"/>
    <mergeCell ref="A122:A123"/>
    <mergeCell ref="A142:A143"/>
    <mergeCell ref="A162:A163"/>
    <mergeCell ref="A182:A183"/>
    <mergeCell ref="A202:A203"/>
    <mergeCell ref="A222:A223"/>
    <mergeCell ref="A181:I181"/>
    <mergeCell ref="A201:I201"/>
    <mergeCell ref="A221:I221"/>
    <mergeCell ref="A2:A3"/>
    <mergeCell ref="A22:A23"/>
    <mergeCell ref="A42:A43"/>
    <mergeCell ref="A62:A63"/>
    <mergeCell ref="A82:A83"/>
    <mergeCell ref="A102:A10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البيانات الوصفية </vt:lpstr>
      <vt:lpstr>المتغيرات</vt:lpstr>
      <vt:lpstr>Insurance Financials Search Rep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Mohammed Saud Ali Alfarsi</dc:creator>
  <cp:lastModifiedBy>Mohammed Saud Ali Alfarsi</cp:lastModifiedBy>
  <dcterms:created xsi:type="dcterms:W3CDTF">2025-05-28T06:28:29Z</dcterms:created>
  <dcterms:modified xsi:type="dcterms:W3CDTF">2025-05-28T06:28:33Z</dcterms:modified>
</cp:coreProperties>
</file>