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hd.alfarsi\Desktop\Systems Documents\opendata\"/>
    </mc:Choice>
  </mc:AlternateContent>
  <bookViews>
    <workbookView xWindow="0" yWindow="0" windowWidth="19200" windowHeight="6950"/>
  </bookViews>
  <sheets>
    <sheet name="البيانات الوصفية " sheetId="3" r:id="rId1"/>
    <sheet name="المتغيرات" sheetId="4" r:id="rId2"/>
    <sheet name="Insurance Financials Search Rep" sheetId="2" r:id="rId3"/>
  </sheets>
  <calcPr calcId="162913"/>
</workbook>
</file>

<file path=xl/calcChain.xml><?xml version="1.0" encoding="utf-8"?>
<calcChain xmlns="http://schemas.openxmlformats.org/spreadsheetml/2006/main">
  <c r="I260" i="2" l="1"/>
  <c r="H260" i="2"/>
  <c r="G260" i="2"/>
  <c r="F260" i="2"/>
  <c r="E260" i="2"/>
  <c r="D260" i="2"/>
  <c r="C260" i="2"/>
  <c r="B260" i="2"/>
  <c r="I259" i="2"/>
  <c r="H259" i="2"/>
  <c r="G259" i="2"/>
  <c r="F259" i="2"/>
  <c r="E259" i="2"/>
  <c r="D259" i="2"/>
  <c r="C259" i="2"/>
  <c r="B259" i="2"/>
  <c r="I258" i="2"/>
  <c r="H258" i="2"/>
  <c r="G258" i="2"/>
  <c r="F258" i="2"/>
  <c r="E258" i="2"/>
  <c r="D258" i="2"/>
  <c r="C258" i="2"/>
  <c r="B258" i="2"/>
  <c r="I257" i="2"/>
  <c r="H257" i="2"/>
  <c r="G257" i="2"/>
  <c r="F257" i="2"/>
  <c r="E257" i="2"/>
  <c r="D257" i="2"/>
  <c r="C257" i="2"/>
  <c r="B257" i="2"/>
  <c r="I256" i="2"/>
  <c r="H256" i="2"/>
  <c r="G256" i="2"/>
  <c r="F256" i="2"/>
  <c r="E256" i="2"/>
  <c r="D256" i="2"/>
  <c r="C256" i="2"/>
  <c r="B256" i="2"/>
  <c r="I255" i="2"/>
  <c r="H255" i="2"/>
  <c r="G255" i="2"/>
  <c r="F255" i="2"/>
  <c r="E255" i="2"/>
  <c r="D255" i="2"/>
  <c r="C255" i="2"/>
  <c r="B255" i="2"/>
  <c r="I254" i="2"/>
  <c r="H254" i="2"/>
  <c r="G254" i="2"/>
  <c r="F254" i="2"/>
  <c r="E254" i="2"/>
  <c r="D254" i="2"/>
  <c r="C254" i="2"/>
  <c r="B254" i="2"/>
  <c r="I253" i="2"/>
  <c r="H253" i="2"/>
  <c r="G253" i="2"/>
  <c r="F253" i="2"/>
  <c r="E253" i="2"/>
  <c r="D253" i="2"/>
  <c r="C253" i="2"/>
  <c r="B253" i="2"/>
  <c r="I252" i="2"/>
  <c r="H252" i="2"/>
  <c r="G252" i="2"/>
  <c r="F252" i="2"/>
  <c r="E252" i="2"/>
  <c r="D252" i="2"/>
  <c r="C252" i="2"/>
  <c r="B252" i="2"/>
  <c r="I251" i="2"/>
  <c r="H251" i="2"/>
  <c r="G251" i="2"/>
  <c r="F251" i="2"/>
  <c r="E251" i="2"/>
  <c r="D251" i="2"/>
  <c r="C251" i="2"/>
  <c r="B251" i="2"/>
  <c r="I250" i="2"/>
  <c r="H250" i="2"/>
  <c r="G250" i="2"/>
  <c r="F250" i="2"/>
  <c r="E250" i="2"/>
  <c r="D250" i="2"/>
  <c r="C250" i="2"/>
  <c r="B250" i="2"/>
  <c r="I249" i="2"/>
  <c r="H249" i="2"/>
  <c r="G249" i="2"/>
  <c r="F249" i="2"/>
  <c r="E249" i="2"/>
  <c r="D249" i="2"/>
  <c r="C249" i="2"/>
  <c r="B249" i="2"/>
  <c r="I248" i="2"/>
  <c r="H248" i="2"/>
  <c r="G248" i="2"/>
  <c r="F248" i="2"/>
  <c r="E248" i="2"/>
  <c r="D248" i="2"/>
  <c r="C248" i="2"/>
  <c r="B248" i="2"/>
  <c r="I247" i="2"/>
  <c r="H247" i="2"/>
  <c r="G247" i="2"/>
  <c r="F247" i="2"/>
  <c r="E247" i="2"/>
  <c r="D247" i="2"/>
  <c r="C247" i="2"/>
  <c r="B247" i="2"/>
  <c r="I246" i="2"/>
  <c r="H246" i="2"/>
  <c r="G246" i="2"/>
  <c r="F246" i="2"/>
  <c r="E246" i="2"/>
  <c r="D246" i="2"/>
  <c r="C246" i="2"/>
  <c r="B246" i="2"/>
  <c r="I245" i="2"/>
  <c r="H245" i="2"/>
  <c r="G245" i="2"/>
  <c r="F245" i="2"/>
  <c r="E245" i="2"/>
  <c r="D245" i="2"/>
  <c r="C245" i="2"/>
  <c r="B245" i="2"/>
  <c r="I244" i="2"/>
  <c r="H244" i="2"/>
  <c r="G244" i="2"/>
  <c r="F244" i="2"/>
  <c r="E244" i="2"/>
  <c r="D244" i="2"/>
  <c r="C244" i="2"/>
  <c r="B244" i="2"/>
  <c r="I240" i="2"/>
  <c r="H240" i="2"/>
  <c r="G240" i="2"/>
  <c r="F240" i="2"/>
  <c r="E240" i="2"/>
  <c r="D240" i="2"/>
  <c r="C240" i="2"/>
  <c r="B240" i="2"/>
  <c r="I239" i="2"/>
  <c r="H239" i="2"/>
  <c r="G239" i="2"/>
  <c r="F239" i="2"/>
  <c r="E239" i="2"/>
  <c r="D239" i="2"/>
  <c r="C239" i="2"/>
  <c r="B239" i="2"/>
  <c r="I238" i="2"/>
  <c r="H238" i="2"/>
  <c r="G238" i="2"/>
  <c r="F238" i="2"/>
  <c r="E238" i="2"/>
  <c r="D238" i="2"/>
  <c r="C238" i="2"/>
  <c r="B238" i="2"/>
  <c r="I237" i="2"/>
  <c r="H237" i="2"/>
  <c r="G237" i="2"/>
  <c r="F237" i="2"/>
  <c r="E237" i="2"/>
  <c r="D237" i="2"/>
  <c r="C237" i="2"/>
  <c r="B237" i="2"/>
  <c r="I236" i="2"/>
  <c r="H236" i="2"/>
  <c r="G236" i="2"/>
  <c r="F236" i="2"/>
  <c r="E236" i="2"/>
  <c r="D236" i="2"/>
  <c r="C236" i="2"/>
  <c r="B236" i="2"/>
  <c r="I235" i="2"/>
  <c r="H235" i="2"/>
  <c r="G235" i="2"/>
  <c r="F235" i="2"/>
  <c r="E235" i="2"/>
  <c r="D235" i="2"/>
  <c r="C235" i="2"/>
  <c r="B235" i="2"/>
  <c r="I234" i="2"/>
  <c r="H234" i="2"/>
  <c r="G234" i="2"/>
  <c r="F234" i="2"/>
  <c r="E234" i="2"/>
  <c r="D234" i="2"/>
  <c r="C234" i="2"/>
  <c r="B234" i="2"/>
  <c r="I233" i="2"/>
  <c r="H233" i="2"/>
  <c r="G233" i="2"/>
  <c r="F233" i="2"/>
  <c r="E233" i="2"/>
  <c r="D233" i="2"/>
  <c r="C233" i="2"/>
  <c r="B233" i="2"/>
  <c r="I232" i="2"/>
  <c r="H232" i="2"/>
  <c r="G232" i="2"/>
  <c r="F232" i="2"/>
  <c r="E232" i="2"/>
  <c r="D232" i="2"/>
  <c r="C232" i="2"/>
  <c r="B232" i="2"/>
  <c r="I231" i="2"/>
  <c r="H231" i="2"/>
  <c r="G231" i="2"/>
  <c r="F231" i="2"/>
  <c r="E231" i="2"/>
  <c r="D231" i="2"/>
  <c r="C231" i="2"/>
  <c r="B231" i="2"/>
  <c r="I230" i="2"/>
  <c r="H230" i="2"/>
  <c r="G230" i="2"/>
  <c r="F230" i="2"/>
  <c r="E230" i="2"/>
  <c r="D230" i="2"/>
  <c r="C230" i="2"/>
  <c r="B230" i="2"/>
  <c r="I229" i="2"/>
  <c r="H229" i="2"/>
  <c r="G229" i="2"/>
  <c r="F229" i="2"/>
  <c r="E229" i="2"/>
  <c r="D229" i="2"/>
  <c r="C229" i="2"/>
  <c r="B229" i="2"/>
  <c r="I228" i="2"/>
  <c r="H228" i="2"/>
  <c r="G228" i="2"/>
  <c r="F228" i="2"/>
  <c r="E228" i="2"/>
  <c r="D228" i="2"/>
  <c r="C228" i="2"/>
  <c r="B228" i="2"/>
  <c r="I227" i="2"/>
  <c r="H227" i="2"/>
  <c r="G227" i="2"/>
  <c r="F227" i="2"/>
  <c r="E227" i="2"/>
  <c r="D227" i="2"/>
  <c r="C227" i="2"/>
  <c r="B227" i="2"/>
  <c r="I226" i="2"/>
  <c r="H226" i="2"/>
  <c r="G226" i="2"/>
  <c r="F226" i="2"/>
  <c r="E226" i="2"/>
  <c r="D226" i="2"/>
  <c r="C226" i="2"/>
  <c r="B226" i="2"/>
  <c r="I225" i="2"/>
  <c r="H225" i="2"/>
  <c r="G225" i="2"/>
  <c r="F225" i="2"/>
  <c r="E225" i="2"/>
  <c r="D225" i="2"/>
  <c r="C225" i="2"/>
  <c r="B225" i="2"/>
  <c r="I224" i="2"/>
  <c r="H224" i="2"/>
  <c r="G224" i="2"/>
  <c r="F224" i="2"/>
  <c r="E224" i="2"/>
  <c r="D224" i="2"/>
  <c r="C224" i="2"/>
  <c r="B224" i="2"/>
  <c r="I220" i="2"/>
  <c r="H220" i="2"/>
  <c r="G220" i="2"/>
  <c r="F220" i="2"/>
  <c r="E220" i="2"/>
  <c r="D220" i="2"/>
  <c r="C220" i="2"/>
  <c r="B220" i="2"/>
  <c r="I219" i="2"/>
  <c r="H219" i="2"/>
  <c r="G219" i="2"/>
  <c r="F219" i="2"/>
  <c r="E219" i="2"/>
  <c r="D219" i="2"/>
  <c r="C219" i="2"/>
  <c r="B219" i="2"/>
  <c r="I218" i="2"/>
  <c r="H218" i="2"/>
  <c r="G218" i="2"/>
  <c r="F218" i="2"/>
  <c r="E218" i="2"/>
  <c r="D218" i="2"/>
  <c r="C218" i="2"/>
  <c r="B218" i="2"/>
  <c r="I217" i="2"/>
  <c r="H217" i="2"/>
  <c r="G217" i="2"/>
  <c r="F217" i="2"/>
  <c r="E217" i="2"/>
  <c r="D217" i="2"/>
  <c r="C217" i="2"/>
  <c r="B217" i="2"/>
  <c r="I216" i="2"/>
  <c r="H216" i="2"/>
  <c r="G216" i="2"/>
  <c r="F216" i="2"/>
  <c r="E216" i="2"/>
  <c r="D216" i="2"/>
  <c r="C216" i="2"/>
  <c r="B216" i="2"/>
  <c r="I215" i="2"/>
  <c r="H215" i="2"/>
  <c r="G215" i="2"/>
  <c r="F215" i="2"/>
  <c r="E215" i="2"/>
  <c r="D215" i="2"/>
  <c r="C215" i="2"/>
  <c r="B215" i="2"/>
  <c r="I214" i="2"/>
  <c r="H214" i="2"/>
  <c r="G214" i="2"/>
  <c r="F214" i="2"/>
  <c r="E214" i="2"/>
  <c r="D214" i="2"/>
  <c r="C214" i="2"/>
  <c r="B214" i="2"/>
  <c r="I213" i="2"/>
  <c r="H213" i="2"/>
  <c r="G213" i="2"/>
  <c r="F213" i="2"/>
  <c r="E213" i="2"/>
  <c r="D213" i="2"/>
  <c r="C213" i="2"/>
  <c r="B213" i="2"/>
  <c r="I212" i="2"/>
  <c r="H212" i="2"/>
  <c r="G212" i="2"/>
  <c r="F212" i="2"/>
  <c r="E212" i="2"/>
  <c r="D212" i="2"/>
  <c r="C212" i="2"/>
  <c r="B212" i="2"/>
  <c r="I211" i="2"/>
  <c r="H211" i="2"/>
  <c r="G211" i="2"/>
  <c r="F211" i="2"/>
  <c r="E211" i="2"/>
  <c r="D211" i="2"/>
  <c r="C211" i="2"/>
  <c r="B211" i="2"/>
  <c r="I210" i="2"/>
  <c r="H210" i="2"/>
  <c r="G210" i="2"/>
  <c r="F210" i="2"/>
  <c r="E210" i="2"/>
  <c r="D210" i="2"/>
  <c r="C210" i="2"/>
  <c r="B210" i="2"/>
  <c r="I209" i="2"/>
  <c r="H209" i="2"/>
  <c r="G209" i="2"/>
  <c r="F209" i="2"/>
  <c r="E209" i="2"/>
  <c r="D209" i="2"/>
  <c r="C209" i="2"/>
  <c r="B209" i="2"/>
  <c r="I208" i="2"/>
  <c r="H208" i="2"/>
  <c r="G208" i="2"/>
  <c r="F208" i="2"/>
  <c r="E208" i="2"/>
  <c r="D208" i="2"/>
  <c r="C208" i="2"/>
  <c r="B208" i="2"/>
  <c r="I207" i="2"/>
  <c r="H207" i="2"/>
  <c r="G207" i="2"/>
  <c r="F207" i="2"/>
  <c r="E207" i="2"/>
  <c r="D207" i="2"/>
  <c r="C207" i="2"/>
  <c r="B207" i="2"/>
  <c r="I206" i="2"/>
  <c r="H206" i="2"/>
  <c r="G206" i="2"/>
  <c r="F206" i="2"/>
  <c r="E206" i="2"/>
  <c r="D206" i="2"/>
  <c r="C206" i="2"/>
  <c r="B206" i="2"/>
  <c r="I205" i="2"/>
  <c r="H205" i="2"/>
  <c r="G205" i="2"/>
  <c r="F205" i="2"/>
  <c r="E205" i="2"/>
  <c r="D205" i="2"/>
  <c r="C205" i="2"/>
  <c r="B205" i="2"/>
  <c r="I204" i="2"/>
  <c r="H204" i="2"/>
  <c r="G204" i="2"/>
  <c r="F204" i="2"/>
  <c r="E204" i="2"/>
  <c r="D204" i="2"/>
  <c r="C204" i="2"/>
  <c r="B204" i="2"/>
  <c r="I200" i="2"/>
  <c r="H200" i="2"/>
  <c r="G200" i="2"/>
  <c r="F200" i="2"/>
  <c r="E200" i="2"/>
  <c r="D200" i="2"/>
  <c r="C200" i="2"/>
  <c r="B200" i="2"/>
  <c r="I199" i="2"/>
  <c r="H199" i="2"/>
  <c r="G199" i="2"/>
  <c r="F199" i="2"/>
  <c r="E199" i="2"/>
  <c r="D199" i="2"/>
  <c r="C199" i="2"/>
  <c r="B199" i="2"/>
  <c r="I198" i="2"/>
  <c r="H198" i="2"/>
  <c r="G198" i="2"/>
  <c r="F198" i="2"/>
  <c r="E198" i="2"/>
  <c r="D198" i="2"/>
  <c r="C198" i="2"/>
  <c r="B198" i="2"/>
  <c r="I197" i="2"/>
  <c r="H197" i="2"/>
  <c r="G197" i="2"/>
  <c r="F197" i="2"/>
  <c r="E197" i="2"/>
  <c r="D197" i="2"/>
  <c r="C197" i="2"/>
  <c r="B197" i="2"/>
  <c r="I196" i="2"/>
  <c r="H196" i="2"/>
  <c r="G196" i="2"/>
  <c r="F196" i="2"/>
  <c r="E196" i="2"/>
  <c r="D196" i="2"/>
  <c r="C196" i="2"/>
  <c r="B196" i="2"/>
  <c r="I195" i="2"/>
  <c r="H195" i="2"/>
  <c r="G195" i="2"/>
  <c r="F195" i="2"/>
  <c r="E195" i="2"/>
  <c r="D195" i="2"/>
  <c r="C195" i="2"/>
  <c r="B195" i="2"/>
  <c r="I194" i="2"/>
  <c r="H194" i="2"/>
  <c r="G194" i="2"/>
  <c r="F194" i="2"/>
  <c r="E194" i="2"/>
  <c r="D194" i="2"/>
  <c r="C194" i="2"/>
  <c r="B194" i="2"/>
  <c r="I193" i="2"/>
  <c r="H193" i="2"/>
  <c r="G193" i="2"/>
  <c r="F193" i="2"/>
  <c r="E193" i="2"/>
  <c r="D193" i="2"/>
  <c r="C193" i="2"/>
  <c r="B193" i="2"/>
  <c r="I192" i="2"/>
  <c r="H192" i="2"/>
  <c r="G192" i="2"/>
  <c r="F192" i="2"/>
  <c r="E192" i="2"/>
  <c r="D192" i="2"/>
  <c r="C192" i="2"/>
  <c r="B192" i="2"/>
  <c r="I191" i="2"/>
  <c r="H191" i="2"/>
  <c r="G191" i="2"/>
  <c r="F191" i="2"/>
  <c r="E191" i="2"/>
  <c r="D191" i="2"/>
  <c r="C191" i="2"/>
  <c r="B191" i="2"/>
  <c r="I190" i="2"/>
  <c r="H190" i="2"/>
  <c r="G190" i="2"/>
  <c r="F190" i="2"/>
  <c r="E190" i="2"/>
  <c r="D190" i="2"/>
  <c r="C190" i="2"/>
  <c r="B190" i="2"/>
  <c r="I189" i="2"/>
  <c r="H189" i="2"/>
  <c r="G189" i="2"/>
  <c r="F189" i="2"/>
  <c r="E189" i="2"/>
  <c r="D189" i="2"/>
  <c r="C189" i="2"/>
  <c r="B189" i="2"/>
  <c r="I188" i="2"/>
  <c r="H188" i="2"/>
  <c r="G188" i="2"/>
  <c r="F188" i="2"/>
  <c r="E188" i="2"/>
  <c r="D188" i="2"/>
  <c r="C188" i="2"/>
  <c r="B188" i="2"/>
  <c r="I187" i="2"/>
  <c r="H187" i="2"/>
  <c r="G187" i="2"/>
  <c r="F187" i="2"/>
  <c r="E187" i="2"/>
  <c r="D187" i="2"/>
  <c r="C187" i="2"/>
  <c r="B187" i="2"/>
  <c r="I186" i="2"/>
  <c r="H186" i="2"/>
  <c r="G186" i="2"/>
  <c r="F186" i="2"/>
  <c r="E186" i="2"/>
  <c r="D186" i="2"/>
  <c r="C186" i="2"/>
  <c r="B186" i="2"/>
  <c r="I185" i="2"/>
  <c r="H185" i="2"/>
  <c r="G185" i="2"/>
  <c r="F185" i="2"/>
  <c r="E185" i="2"/>
  <c r="D185" i="2"/>
  <c r="C185" i="2"/>
  <c r="B185" i="2"/>
  <c r="I184" i="2"/>
  <c r="H184" i="2"/>
  <c r="G184" i="2"/>
  <c r="F184" i="2"/>
  <c r="E184" i="2"/>
  <c r="D184" i="2"/>
  <c r="C184" i="2"/>
  <c r="B184" i="2"/>
  <c r="I180" i="2"/>
  <c r="H180" i="2"/>
  <c r="G180" i="2"/>
  <c r="F180" i="2"/>
  <c r="E180" i="2"/>
  <c r="D180" i="2"/>
  <c r="C180" i="2"/>
  <c r="B180" i="2"/>
  <c r="I179" i="2"/>
  <c r="H179" i="2"/>
  <c r="G179" i="2"/>
  <c r="F179" i="2"/>
  <c r="E179" i="2"/>
  <c r="D179" i="2"/>
  <c r="C179" i="2"/>
  <c r="B179" i="2"/>
  <c r="I178" i="2"/>
  <c r="H178" i="2"/>
  <c r="G178" i="2"/>
  <c r="F178" i="2"/>
  <c r="E178" i="2"/>
  <c r="D178" i="2"/>
  <c r="C178" i="2"/>
  <c r="B178" i="2"/>
  <c r="I177" i="2"/>
  <c r="H177" i="2"/>
  <c r="G177" i="2"/>
  <c r="F177" i="2"/>
  <c r="E177" i="2"/>
  <c r="D177" i="2"/>
  <c r="C177" i="2"/>
  <c r="B177" i="2"/>
  <c r="I176" i="2"/>
  <c r="H176" i="2"/>
  <c r="G176" i="2"/>
  <c r="F176" i="2"/>
  <c r="E176" i="2"/>
  <c r="D176" i="2"/>
  <c r="C176" i="2"/>
  <c r="B176" i="2"/>
  <c r="I175" i="2"/>
  <c r="H175" i="2"/>
  <c r="G175" i="2"/>
  <c r="F175" i="2"/>
  <c r="E175" i="2"/>
  <c r="D175" i="2"/>
  <c r="C175" i="2"/>
  <c r="B175" i="2"/>
  <c r="I174" i="2"/>
  <c r="H174" i="2"/>
  <c r="G174" i="2"/>
  <c r="F174" i="2"/>
  <c r="E174" i="2"/>
  <c r="D174" i="2"/>
  <c r="C174" i="2"/>
  <c r="B174" i="2"/>
  <c r="I173" i="2"/>
  <c r="H173" i="2"/>
  <c r="G173" i="2"/>
  <c r="F173" i="2"/>
  <c r="E173" i="2"/>
  <c r="D173" i="2"/>
  <c r="C173" i="2"/>
  <c r="B173" i="2"/>
  <c r="I172" i="2"/>
  <c r="H172" i="2"/>
  <c r="G172" i="2"/>
  <c r="F172" i="2"/>
  <c r="E172" i="2"/>
  <c r="D172" i="2"/>
  <c r="C172" i="2"/>
  <c r="B172" i="2"/>
  <c r="I171" i="2"/>
  <c r="H171" i="2"/>
  <c r="G171" i="2"/>
  <c r="F171" i="2"/>
  <c r="E171" i="2"/>
  <c r="D171" i="2"/>
  <c r="C171" i="2"/>
  <c r="B171" i="2"/>
  <c r="I170" i="2"/>
  <c r="H170" i="2"/>
  <c r="G170" i="2"/>
  <c r="F170" i="2"/>
  <c r="E170" i="2"/>
  <c r="D170" i="2"/>
  <c r="C170" i="2"/>
  <c r="B170" i="2"/>
  <c r="I169" i="2"/>
  <c r="H169" i="2"/>
  <c r="G169" i="2"/>
  <c r="F169" i="2"/>
  <c r="E169" i="2"/>
  <c r="D169" i="2"/>
  <c r="C169" i="2"/>
  <c r="B169" i="2"/>
  <c r="I168" i="2"/>
  <c r="H168" i="2"/>
  <c r="G168" i="2"/>
  <c r="F168" i="2"/>
  <c r="E168" i="2"/>
  <c r="D168" i="2"/>
  <c r="C168" i="2"/>
  <c r="B168" i="2"/>
  <c r="I167" i="2"/>
  <c r="H167" i="2"/>
  <c r="G167" i="2"/>
  <c r="F167" i="2"/>
  <c r="E167" i="2"/>
  <c r="D167" i="2"/>
  <c r="C167" i="2"/>
  <c r="B167" i="2"/>
  <c r="I166" i="2"/>
  <c r="H166" i="2"/>
  <c r="G166" i="2"/>
  <c r="F166" i="2"/>
  <c r="E166" i="2"/>
  <c r="D166" i="2"/>
  <c r="C166" i="2"/>
  <c r="B166" i="2"/>
  <c r="I165" i="2"/>
  <c r="H165" i="2"/>
  <c r="G165" i="2"/>
  <c r="F165" i="2"/>
  <c r="E165" i="2"/>
  <c r="D165" i="2"/>
  <c r="C165" i="2"/>
  <c r="B165" i="2"/>
  <c r="I164" i="2"/>
  <c r="H164" i="2"/>
  <c r="G164" i="2"/>
  <c r="F164" i="2"/>
  <c r="E164" i="2"/>
  <c r="D164" i="2"/>
  <c r="C164" i="2"/>
  <c r="B164" i="2"/>
  <c r="I160" i="2"/>
  <c r="H160" i="2"/>
  <c r="G160" i="2"/>
  <c r="F160" i="2"/>
  <c r="E160" i="2"/>
  <c r="D160" i="2"/>
  <c r="C160" i="2"/>
  <c r="B160" i="2"/>
  <c r="I159" i="2"/>
  <c r="H159" i="2"/>
  <c r="G159" i="2"/>
  <c r="F159" i="2"/>
  <c r="E159" i="2"/>
  <c r="D159" i="2"/>
  <c r="C159" i="2"/>
  <c r="B159" i="2"/>
  <c r="I158" i="2"/>
  <c r="H158" i="2"/>
  <c r="G158" i="2"/>
  <c r="F158" i="2"/>
  <c r="E158" i="2"/>
  <c r="D158" i="2"/>
  <c r="C158" i="2"/>
  <c r="B158" i="2"/>
  <c r="I157" i="2"/>
  <c r="H157" i="2"/>
  <c r="G157" i="2"/>
  <c r="F157" i="2"/>
  <c r="E157" i="2"/>
  <c r="D157" i="2"/>
  <c r="C157" i="2"/>
  <c r="B157" i="2"/>
  <c r="I156" i="2"/>
  <c r="H156" i="2"/>
  <c r="G156" i="2"/>
  <c r="F156" i="2"/>
  <c r="E156" i="2"/>
  <c r="D156" i="2"/>
  <c r="C156" i="2"/>
  <c r="B156" i="2"/>
  <c r="I155" i="2"/>
  <c r="H155" i="2"/>
  <c r="G155" i="2"/>
  <c r="F155" i="2"/>
  <c r="E155" i="2"/>
  <c r="D155" i="2"/>
  <c r="C155" i="2"/>
  <c r="B155" i="2"/>
  <c r="I154" i="2"/>
  <c r="H154" i="2"/>
  <c r="G154" i="2"/>
  <c r="F154" i="2"/>
  <c r="E154" i="2"/>
  <c r="D154" i="2"/>
  <c r="C154" i="2"/>
  <c r="B154" i="2"/>
  <c r="I153" i="2"/>
  <c r="H153" i="2"/>
  <c r="G153" i="2"/>
  <c r="F153" i="2"/>
  <c r="E153" i="2"/>
  <c r="D153" i="2"/>
  <c r="C153" i="2"/>
  <c r="B153" i="2"/>
  <c r="I152" i="2"/>
  <c r="H152" i="2"/>
  <c r="G152" i="2"/>
  <c r="F152" i="2"/>
  <c r="E152" i="2"/>
  <c r="D152" i="2"/>
  <c r="C152" i="2"/>
  <c r="B152" i="2"/>
  <c r="I151" i="2"/>
  <c r="H151" i="2"/>
  <c r="G151" i="2"/>
  <c r="F151" i="2"/>
  <c r="E151" i="2"/>
  <c r="D151" i="2"/>
  <c r="C151" i="2"/>
  <c r="B151" i="2"/>
  <c r="I150" i="2"/>
  <c r="H150" i="2"/>
  <c r="G150" i="2"/>
  <c r="F150" i="2"/>
  <c r="E150" i="2"/>
  <c r="D150" i="2"/>
  <c r="C150" i="2"/>
  <c r="B150" i="2"/>
  <c r="I149" i="2"/>
  <c r="H149" i="2"/>
  <c r="G149" i="2"/>
  <c r="F149" i="2"/>
  <c r="E149" i="2"/>
  <c r="D149" i="2"/>
  <c r="C149" i="2"/>
  <c r="B149" i="2"/>
  <c r="I148" i="2"/>
  <c r="H148" i="2"/>
  <c r="G148" i="2"/>
  <c r="F148" i="2"/>
  <c r="E148" i="2"/>
  <c r="D148" i="2"/>
  <c r="C148" i="2"/>
  <c r="B148" i="2"/>
  <c r="I147" i="2"/>
  <c r="H147" i="2"/>
  <c r="G147" i="2"/>
  <c r="F147" i="2"/>
  <c r="E147" i="2"/>
  <c r="D147" i="2"/>
  <c r="C147" i="2"/>
  <c r="B147" i="2"/>
  <c r="I146" i="2"/>
  <c r="H146" i="2"/>
  <c r="G146" i="2"/>
  <c r="F146" i="2"/>
  <c r="E146" i="2"/>
  <c r="D146" i="2"/>
  <c r="C146" i="2"/>
  <c r="B146" i="2"/>
  <c r="I145" i="2"/>
  <c r="H145" i="2"/>
  <c r="G145" i="2"/>
  <c r="F145" i="2"/>
  <c r="E145" i="2"/>
  <c r="D145" i="2"/>
  <c r="C145" i="2"/>
  <c r="B145" i="2"/>
  <c r="I144" i="2"/>
  <c r="H144" i="2"/>
  <c r="G144" i="2"/>
  <c r="F144" i="2"/>
  <c r="E144" i="2"/>
  <c r="D144" i="2"/>
  <c r="C144" i="2"/>
  <c r="B144" i="2"/>
  <c r="I140" i="2"/>
  <c r="H140" i="2"/>
  <c r="G140" i="2"/>
  <c r="F140" i="2"/>
  <c r="E140" i="2"/>
  <c r="D140" i="2"/>
  <c r="C140" i="2"/>
  <c r="B140" i="2"/>
  <c r="I139" i="2"/>
  <c r="H139" i="2"/>
  <c r="G139" i="2"/>
  <c r="F139" i="2"/>
  <c r="E139" i="2"/>
  <c r="D139" i="2"/>
  <c r="C139" i="2"/>
  <c r="B139" i="2"/>
  <c r="I138" i="2"/>
  <c r="H138" i="2"/>
  <c r="G138" i="2"/>
  <c r="F138" i="2"/>
  <c r="E138" i="2"/>
  <c r="D138" i="2"/>
  <c r="C138" i="2"/>
  <c r="B138" i="2"/>
  <c r="I137" i="2"/>
  <c r="H137" i="2"/>
  <c r="G137" i="2"/>
  <c r="F137" i="2"/>
  <c r="E137" i="2"/>
  <c r="D137" i="2"/>
  <c r="C137" i="2"/>
  <c r="B137" i="2"/>
  <c r="I136" i="2"/>
  <c r="H136" i="2"/>
  <c r="G136" i="2"/>
  <c r="F136" i="2"/>
  <c r="E136" i="2"/>
  <c r="D136" i="2"/>
  <c r="C136" i="2"/>
  <c r="B136" i="2"/>
  <c r="I135" i="2"/>
  <c r="H135" i="2"/>
  <c r="G135" i="2"/>
  <c r="F135" i="2"/>
  <c r="E135" i="2"/>
  <c r="D135" i="2"/>
  <c r="C135" i="2"/>
  <c r="B135" i="2"/>
  <c r="I134" i="2"/>
  <c r="H134" i="2"/>
  <c r="G134" i="2"/>
  <c r="F134" i="2"/>
  <c r="E134" i="2"/>
  <c r="D134" i="2"/>
  <c r="C134" i="2"/>
  <c r="B134" i="2"/>
  <c r="I133" i="2"/>
  <c r="H133" i="2"/>
  <c r="G133" i="2"/>
  <c r="F133" i="2"/>
  <c r="E133" i="2"/>
  <c r="D133" i="2"/>
  <c r="C133" i="2"/>
  <c r="B133" i="2"/>
  <c r="I132" i="2"/>
  <c r="H132" i="2"/>
  <c r="G132" i="2"/>
  <c r="F132" i="2"/>
  <c r="E132" i="2"/>
  <c r="D132" i="2"/>
  <c r="C132" i="2"/>
  <c r="B132" i="2"/>
  <c r="I131" i="2"/>
  <c r="H131" i="2"/>
  <c r="G131" i="2"/>
  <c r="F131" i="2"/>
  <c r="E131" i="2"/>
  <c r="D131" i="2"/>
  <c r="C131" i="2"/>
  <c r="B131" i="2"/>
  <c r="I130" i="2"/>
  <c r="H130" i="2"/>
  <c r="G130" i="2"/>
  <c r="F130" i="2"/>
  <c r="E130" i="2"/>
  <c r="D130" i="2"/>
  <c r="C130" i="2"/>
  <c r="B130" i="2"/>
  <c r="I129" i="2"/>
  <c r="H129" i="2"/>
  <c r="G129" i="2"/>
  <c r="F129" i="2"/>
  <c r="E129" i="2"/>
  <c r="D129" i="2"/>
  <c r="C129" i="2"/>
  <c r="B129" i="2"/>
  <c r="I128" i="2"/>
  <c r="H128" i="2"/>
  <c r="G128" i="2"/>
  <c r="F128" i="2"/>
  <c r="E128" i="2"/>
  <c r="D128" i="2"/>
  <c r="C128" i="2"/>
  <c r="B128" i="2"/>
  <c r="I127" i="2"/>
  <c r="H127" i="2"/>
  <c r="G127" i="2"/>
  <c r="F127" i="2"/>
  <c r="E127" i="2"/>
  <c r="D127" i="2"/>
  <c r="C127" i="2"/>
  <c r="B127" i="2"/>
  <c r="I126" i="2"/>
  <c r="H126" i="2"/>
  <c r="G126" i="2"/>
  <c r="F126" i="2"/>
  <c r="E126" i="2"/>
  <c r="D126" i="2"/>
  <c r="C126" i="2"/>
  <c r="B126" i="2"/>
  <c r="I125" i="2"/>
  <c r="H125" i="2"/>
  <c r="G125" i="2"/>
  <c r="F125" i="2"/>
  <c r="E125" i="2"/>
  <c r="D125" i="2"/>
  <c r="C125" i="2"/>
  <c r="B125" i="2"/>
  <c r="I124" i="2"/>
  <c r="H124" i="2"/>
  <c r="G124" i="2"/>
  <c r="F124" i="2"/>
  <c r="E124" i="2"/>
  <c r="D124" i="2"/>
  <c r="C124" i="2"/>
  <c r="B124" i="2"/>
  <c r="I120" i="2"/>
  <c r="H120" i="2"/>
  <c r="G120" i="2"/>
  <c r="F120" i="2"/>
  <c r="E120" i="2"/>
  <c r="D120" i="2"/>
  <c r="C120" i="2"/>
  <c r="B120" i="2"/>
  <c r="I119" i="2"/>
  <c r="H119" i="2"/>
  <c r="G119" i="2"/>
  <c r="F119" i="2"/>
  <c r="E119" i="2"/>
  <c r="D119" i="2"/>
  <c r="C119" i="2"/>
  <c r="B119" i="2"/>
  <c r="I118" i="2"/>
  <c r="H118" i="2"/>
  <c r="G118" i="2"/>
  <c r="F118" i="2"/>
  <c r="E118" i="2"/>
  <c r="D118" i="2"/>
  <c r="C118" i="2"/>
  <c r="B118" i="2"/>
  <c r="I117" i="2"/>
  <c r="H117" i="2"/>
  <c r="G117" i="2"/>
  <c r="F117" i="2"/>
  <c r="E117" i="2"/>
  <c r="D117" i="2"/>
  <c r="C117" i="2"/>
  <c r="B117" i="2"/>
  <c r="I116" i="2"/>
  <c r="H116" i="2"/>
  <c r="G116" i="2"/>
  <c r="F116" i="2"/>
  <c r="E116" i="2"/>
  <c r="D116" i="2"/>
  <c r="C116" i="2"/>
  <c r="B116" i="2"/>
  <c r="I115" i="2"/>
  <c r="H115" i="2"/>
  <c r="G115" i="2"/>
  <c r="F115" i="2"/>
  <c r="E115" i="2"/>
  <c r="D115" i="2"/>
  <c r="C115" i="2"/>
  <c r="B115" i="2"/>
  <c r="I114" i="2"/>
  <c r="H114" i="2"/>
  <c r="G114" i="2"/>
  <c r="F114" i="2"/>
  <c r="E114" i="2"/>
  <c r="D114" i="2"/>
  <c r="C114" i="2"/>
  <c r="B114" i="2"/>
  <c r="I113" i="2"/>
  <c r="H113" i="2"/>
  <c r="G113" i="2"/>
  <c r="F113" i="2"/>
  <c r="E113" i="2"/>
  <c r="D113" i="2"/>
  <c r="C113" i="2"/>
  <c r="B113" i="2"/>
  <c r="I112" i="2"/>
  <c r="H112" i="2"/>
  <c r="G112" i="2"/>
  <c r="F112" i="2"/>
  <c r="E112" i="2"/>
  <c r="D112" i="2"/>
  <c r="C112" i="2"/>
  <c r="B112" i="2"/>
  <c r="I111" i="2"/>
  <c r="H111" i="2"/>
  <c r="G111" i="2"/>
  <c r="F111" i="2"/>
  <c r="E111" i="2"/>
  <c r="D111" i="2"/>
  <c r="C111" i="2"/>
  <c r="B111" i="2"/>
  <c r="I110" i="2"/>
  <c r="H110" i="2"/>
  <c r="G110" i="2"/>
  <c r="F110" i="2"/>
  <c r="E110" i="2"/>
  <c r="D110" i="2"/>
  <c r="C110" i="2"/>
  <c r="B110" i="2"/>
  <c r="I109" i="2"/>
  <c r="H109" i="2"/>
  <c r="G109" i="2"/>
  <c r="F109" i="2"/>
  <c r="E109" i="2"/>
  <c r="D109" i="2"/>
  <c r="C109" i="2"/>
  <c r="B109" i="2"/>
  <c r="I108" i="2"/>
  <c r="H108" i="2"/>
  <c r="G108" i="2"/>
  <c r="F108" i="2"/>
  <c r="E108" i="2"/>
  <c r="D108" i="2"/>
  <c r="C108" i="2"/>
  <c r="B108" i="2"/>
  <c r="I107" i="2"/>
  <c r="H107" i="2"/>
  <c r="G107" i="2"/>
  <c r="F107" i="2"/>
  <c r="E107" i="2"/>
  <c r="D107" i="2"/>
  <c r="C107" i="2"/>
  <c r="B107" i="2"/>
  <c r="I106" i="2"/>
  <c r="H106" i="2"/>
  <c r="G106" i="2"/>
  <c r="F106" i="2"/>
  <c r="E106" i="2"/>
  <c r="D106" i="2"/>
  <c r="C106" i="2"/>
  <c r="B106" i="2"/>
  <c r="I105" i="2"/>
  <c r="H105" i="2"/>
  <c r="G105" i="2"/>
  <c r="F105" i="2"/>
  <c r="E105" i="2"/>
  <c r="D105" i="2"/>
  <c r="C105" i="2"/>
  <c r="B105" i="2"/>
  <c r="I104" i="2"/>
  <c r="H104" i="2"/>
  <c r="G104" i="2"/>
  <c r="F104" i="2"/>
  <c r="E104" i="2"/>
  <c r="D104" i="2"/>
  <c r="C104" i="2"/>
  <c r="B104" i="2"/>
  <c r="I100" i="2"/>
  <c r="H100" i="2"/>
  <c r="G100" i="2"/>
  <c r="F100" i="2"/>
  <c r="E100" i="2"/>
  <c r="D100" i="2"/>
  <c r="C100" i="2"/>
  <c r="B100" i="2"/>
  <c r="I99" i="2"/>
  <c r="H99" i="2"/>
  <c r="G99" i="2"/>
  <c r="F99" i="2"/>
  <c r="E99" i="2"/>
  <c r="D99" i="2"/>
  <c r="C99" i="2"/>
  <c r="B99" i="2"/>
  <c r="I98" i="2"/>
  <c r="H98" i="2"/>
  <c r="G98" i="2"/>
  <c r="F98" i="2"/>
  <c r="E98" i="2"/>
  <c r="D98" i="2"/>
  <c r="C98" i="2"/>
  <c r="B98" i="2"/>
  <c r="I97" i="2"/>
  <c r="H97" i="2"/>
  <c r="G97" i="2"/>
  <c r="F97" i="2"/>
  <c r="E97" i="2"/>
  <c r="D97" i="2"/>
  <c r="C97" i="2"/>
  <c r="B97" i="2"/>
  <c r="I96" i="2"/>
  <c r="H96" i="2"/>
  <c r="G96" i="2"/>
  <c r="F96" i="2"/>
  <c r="E96" i="2"/>
  <c r="D96" i="2"/>
  <c r="C96" i="2"/>
  <c r="B96" i="2"/>
  <c r="I95" i="2"/>
  <c r="H95" i="2"/>
  <c r="G95" i="2"/>
  <c r="F95" i="2"/>
  <c r="E95" i="2"/>
  <c r="D95" i="2"/>
  <c r="C95" i="2"/>
  <c r="B95" i="2"/>
  <c r="I94" i="2"/>
  <c r="H94" i="2"/>
  <c r="G94" i="2"/>
  <c r="F94" i="2"/>
  <c r="E94" i="2"/>
  <c r="D94" i="2"/>
  <c r="C94" i="2"/>
  <c r="B94" i="2"/>
  <c r="I93" i="2"/>
  <c r="H93" i="2"/>
  <c r="G93" i="2"/>
  <c r="F93" i="2"/>
  <c r="E93" i="2"/>
  <c r="D93" i="2"/>
  <c r="C93" i="2"/>
  <c r="B93" i="2"/>
  <c r="I92" i="2"/>
  <c r="H92" i="2"/>
  <c r="G92" i="2"/>
  <c r="F92" i="2"/>
  <c r="E92" i="2"/>
  <c r="D92" i="2"/>
  <c r="C92" i="2"/>
  <c r="B92" i="2"/>
  <c r="I91" i="2"/>
  <c r="H91" i="2"/>
  <c r="G91" i="2"/>
  <c r="F91" i="2"/>
  <c r="E91" i="2"/>
  <c r="D91" i="2"/>
  <c r="C91" i="2"/>
  <c r="B91" i="2"/>
  <c r="I90" i="2"/>
  <c r="H90" i="2"/>
  <c r="G90" i="2"/>
  <c r="F90" i="2"/>
  <c r="E90" i="2"/>
  <c r="D90" i="2"/>
  <c r="C90" i="2"/>
  <c r="B90" i="2"/>
  <c r="I89" i="2"/>
  <c r="H89" i="2"/>
  <c r="G89" i="2"/>
  <c r="F89" i="2"/>
  <c r="E89" i="2"/>
  <c r="D89" i="2"/>
  <c r="C89" i="2"/>
  <c r="B89" i="2"/>
  <c r="I88" i="2"/>
  <c r="H88" i="2"/>
  <c r="G88" i="2"/>
  <c r="F88" i="2"/>
  <c r="E88" i="2"/>
  <c r="D88" i="2"/>
  <c r="C88" i="2"/>
  <c r="B88" i="2"/>
  <c r="I87" i="2"/>
  <c r="H87" i="2"/>
  <c r="G87" i="2"/>
  <c r="F87" i="2"/>
  <c r="E87" i="2"/>
  <c r="D87" i="2"/>
  <c r="C87" i="2"/>
  <c r="B87" i="2"/>
  <c r="I86" i="2"/>
  <c r="H86" i="2"/>
  <c r="G86" i="2"/>
  <c r="F86" i="2"/>
  <c r="E86" i="2"/>
  <c r="D86" i="2"/>
  <c r="C86" i="2"/>
  <c r="B86" i="2"/>
  <c r="I85" i="2"/>
  <c r="H85" i="2"/>
  <c r="G85" i="2"/>
  <c r="F85" i="2"/>
  <c r="E85" i="2"/>
  <c r="D85" i="2"/>
  <c r="C85" i="2"/>
  <c r="B85" i="2"/>
  <c r="I84" i="2"/>
  <c r="H84" i="2"/>
  <c r="G84" i="2"/>
  <c r="F84" i="2"/>
  <c r="E84" i="2"/>
  <c r="D84" i="2"/>
  <c r="C84" i="2"/>
  <c r="B84" i="2"/>
  <c r="I80" i="2"/>
  <c r="H80" i="2"/>
  <c r="G80" i="2"/>
  <c r="F80" i="2"/>
  <c r="E80" i="2"/>
  <c r="D80" i="2"/>
  <c r="C80" i="2"/>
  <c r="B80" i="2"/>
  <c r="I79" i="2"/>
  <c r="H79" i="2"/>
  <c r="G79" i="2"/>
  <c r="F79" i="2"/>
  <c r="E79" i="2"/>
  <c r="D79" i="2"/>
  <c r="C79" i="2"/>
  <c r="B79" i="2"/>
  <c r="I78" i="2"/>
  <c r="H78" i="2"/>
  <c r="G78" i="2"/>
  <c r="F78" i="2"/>
  <c r="E78" i="2"/>
  <c r="D78" i="2"/>
  <c r="C78" i="2"/>
  <c r="B78" i="2"/>
  <c r="I77" i="2"/>
  <c r="H77" i="2"/>
  <c r="G77" i="2"/>
  <c r="F77" i="2"/>
  <c r="E77" i="2"/>
  <c r="D77" i="2"/>
  <c r="C77" i="2"/>
  <c r="B77" i="2"/>
  <c r="I76" i="2"/>
  <c r="H76" i="2"/>
  <c r="G76" i="2"/>
  <c r="F76" i="2"/>
  <c r="E76" i="2"/>
  <c r="D76" i="2"/>
  <c r="C76" i="2"/>
  <c r="B76" i="2"/>
  <c r="I75" i="2"/>
  <c r="H75" i="2"/>
  <c r="G75" i="2"/>
  <c r="F75" i="2"/>
  <c r="E75" i="2"/>
  <c r="D75" i="2"/>
  <c r="C75" i="2"/>
  <c r="B75" i="2"/>
  <c r="I74" i="2"/>
  <c r="H74" i="2"/>
  <c r="G74" i="2"/>
  <c r="F74" i="2"/>
  <c r="E74" i="2"/>
  <c r="D74" i="2"/>
  <c r="C74" i="2"/>
  <c r="B74" i="2"/>
  <c r="I73" i="2"/>
  <c r="H73" i="2"/>
  <c r="G73" i="2"/>
  <c r="F73" i="2"/>
  <c r="E73" i="2"/>
  <c r="D73" i="2"/>
  <c r="C73" i="2"/>
  <c r="B73" i="2"/>
  <c r="I72" i="2"/>
  <c r="H72" i="2"/>
  <c r="G72" i="2"/>
  <c r="F72" i="2"/>
  <c r="E72" i="2"/>
  <c r="D72" i="2"/>
  <c r="C72" i="2"/>
  <c r="B72" i="2"/>
  <c r="I71" i="2"/>
  <c r="H71" i="2"/>
  <c r="G71" i="2"/>
  <c r="F71" i="2"/>
  <c r="E71" i="2"/>
  <c r="D71" i="2"/>
  <c r="C71" i="2"/>
  <c r="B71" i="2"/>
  <c r="I70" i="2"/>
  <c r="H70" i="2"/>
  <c r="G70" i="2"/>
  <c r="F70" i="2"/>
  <c r="E70" i="2"/>
  <c r="D70" i="2"/>
  <c r="C70" i="2"/>
  <c r="B70" i="2"/>
  <c r="I69" i="2"/>
  <c r="H69" i="2"/>
  <c r="G69" i="2"/>
  <c r="F69" i="2"/>
  <c r="E69" i="2"/>
  <c r="D69" i="2"/>
  <c r="C69" i="2"/>
  <c r="B69" i="2"/>
  <c r="I68" i="2"/>
  <c r="H68" i="2"/>
  <c r="G68" i="2"/>
  <c r="F68" i="2"/>
  <c r="E68" i="2"/>
  <c r="D68" i="2"/>
  <c r="C68" i="2"/>
  <c r="B68" i="2"/>
  <c r="I67" i="2"/>
  <c r="H67" i="2"/>
  <c r="G67" i="2"/>
  <c r="F67" i="2"/>
  <c r="E67" i="2"/>
  <c r="D67" i="2"/>
  <c r="C67" i="2"/>
  <c r="B67" i="2"/>
  <c r="I66" i="2"/>
  <c r="H66" i="2"/>
  <c r="G66" i="2"/>
  <c r="F66" i="2"/>
  <c r="E66" i="2"/>
  <c r="D66" i="2"/>
  <c r="C66" i="2"/>
  <c r="B66" i="2"/>
  <c r="I65" i="2"/>
  <c r="H65" i="2"/>
  <c r="G65" i="2"/>
  <c r="F65" i="2"/>
  <c r="E65" i="2"/>
  <c r="D65" i="2"/>
  <c r="C65" i="2"/>
  <c r="B65" i="2"/>
  <c r="I64" i="2"/>
  <c r="H64" i="2"/>
  <c r="G64" i="2"/>
  <c r="F64" i="2"/>
  <c r="E64" i="2"/>
  <c r="D64" i="2"/>
  <c r="C64" i="2"/>
  <c r="B64" i="2"/>
  <c r="I60" i="2"/>
  <c r="H60" i="2"/>
  <c r="G60" i="2"/>
  <c r="F60" i="2"/>
  <c r="E60" i="2"/>
  <c r="D60" i="2"/>
  <c r="C60" i="2"/>
  <c r="B60" i="2"/>
  <c r="I59" i="2"/>
  <c r="H59" i="2"/>
  <c r="G59" i="2"/>
  <c r="F59" i="2"/>
  <c r="E59" i="2"/>
  <c r="D59" i="2"/>
  <c r="C59" i="2"/>
  <c r="B59" i="2"/>
  <c r="I58" i="2"/>
  <c r="H58" i="2"/>
  <c r="G58" i="2"/>
  <c r="F58" i="2"/>
  <c r="E58" i="2"/>
  <c r="D58" i="2"/>
  <c r="C58" i="2"/>
  <c r="B58" i="2"/>
  <c r="I57" i="2"/>
  <c r="H57" i="2"/>
  <c r="G57" i="2"/>
  <c r="F57" i="2"/>
  <c r="E57" i="2"/>
  <c r="D57" i="2"/>
  <c r="C57" i="2"/>
  <c r="B57" i="2"/>
  <c r="I56" i="2"/>
  <c r="H56" i="2"/>
  <c r="G56" i="2"/>
  <c r="F56" i="2"/>
  <c r="E56" i="2"/>
  <c r="D56" i="2"/>
  <c r="C56" i="2"/>
  <c r="B56" i="2"/>
  <c r="I55" i="2"/>
  <c r="H55" i="2"/>
  <c r="G55" i="2"/>
  <c r="F55" i="2"/>
  <c r="E55" i="2"/>
  <c r="D55" i="2"/>
  <c r="C55" i="2"/>
  <c r="B55" i="2"/>
  <c r="I54" i="2"/>
  <c r="H54" i="2"/>
  <c r="G54" i="2"/>
  <c r="F54" i="2"/>
  <c r="E54" i="2"/>
  <c r="D54" i="2"/>
  <c r="C54" i="2"/>
  <c r="B54" i="2"/>
  <c r="I53" i="2"/>
  <c r="H53" i="2"/>
  <c r="G53" i="2"/>
  <c r="F53" i="2"/>
  <c r="E53" i="2"/>
  <c r="D53" i="2"/>
  <c r="C53" i="2"/>
  <c r="B53" i="2"/>
  <c r="I52" i="2"/>
  <c r="H52" i="2"/>
  <c r="G52" i="2"/>
  <c r="F52" i="2"/>
  <c r="E52" i="2"/>
  <c r="D52" i="2"/>
  <c r="C52" i="2"/>
  <c r="B52" i="2"/>
  <c r="I51" i="2"/>
  <c r="H51" i="2"/>
  <c r="G51" i="2"/>
  <c r="F51" i="2"/>
  <c r="E51" i="2"/>
  <c r="D51" i="2"/>
  <c r="C51" i="2"/>
  <c r="B51" i="2"/>
  <c r="I50" i="2"/>
  <c r="H50" i="2"/>
  <c r="G50" i="2"/>
  <c r="F50" i="2"/>
  <c r="E50" i="2"/>
  <c r="D50" i="2"/>
  <c r="C50" i="2"/>
  <c r="B50" i="2"/>
  <c r="I49" i="2"/>
  <c r="H49" i="2"/>
  <c r="G49" i="2"/>
  <c r="F49" i="2"/>
  <c r="E49" i="2"/>
  <c r="D49" i="2"/>
  <c r="C49" i="2"/>
  <c r="B49" i="2"/>
  <c r="I48" i="2"/>
  <c r="H48" i="2"/>
  <c r="G48" i="2"/>
  <c r="F48" i="2"/>
  <c r="E48" i="2"/>
  <c r="D48" i="2"/>
  <c r="C48" i="2"/>
  <c r="B48" i="2"/>
  <c r="I47" i="2"/>
  <c r="H47" i="2"/>
  <c r="G47" i="2"/>
  <c r="F47" i="2"/>
  <c r="E47" i="2"/>
  <c r="D47" i="2"/>
  <c r="C47" i="2"/>
  <c r="B47" i="2"/>
  <c r="I46" i="2"/>
  <c r="H46" i="2"/>
  <c r="G46" i="2"/>
  <c r="F46" i="2"/>
  <c r="E46" i="2"/>
  <c r="D46" i="2"/>
  <c r="C46" i="2"/>
  <c r="B46" i="2"/>
  <c r="I45" i="2"/>
  <c r="H45" i="2"/>
  <c r="G45" i="2"/>
  <c r="F45" i="2"/>
  <c r="E45" i="2"/>
  <c r="D45" i="2"/>
  <c r="C45" i="2"/>
  <c r="B45" i="2"/>
  <c r="I44" i="2"/>
  <c r="H44" i="2"/>
  <c r="G44" i="2"/>
  <c r="F44" i="2"/>
  <c r="E44" i="2"/>
  <c r="D44" i="2"/>
  <c r="C44" i="2"/>
  <c r="B44" i="2"/>
  <c r="I40" i="2"/>
  <c r="H40" i="2"/>
  <c r="G40" i="2"/>
  <c r="F40" i="2"/>
  <c r="E40" i="2"/>
  <c r="D40" i="2"/>
  <c r="C40" i="2"/>
  <c r="B40" i="2"/>
  <c r="I39" i="2"/>
  <c r="H39" i="2"/>
  <c r="G39" i="2"/>
  <c r="F39" i="2"/>
  <c r="E39" i="2"/>
  <c r="D39" i="2"/>
  <c r="C39" i="2"/>
  <c r="B39" i="2"/>
  <c r="I38" i="2"/>
  <c r="H38" i="2"/>
  <c r="G38" i="2"/>
  <c r="F38" i="2"/>
  <c r="E38" i="2"/>
  <c r="D38" i="2"/>
  <c r="C38" i="2"/>
  <c r="B38" i="2"/>
  <c r="I37" i="2"/>
  <c r="H37" i="2"/>
  <c r="G37" i="2"/>
  <c r="F37" i="2"/>
  <c r="E37" i="2"/>
  <c r="D37" i="2"/>
  <c r="C37" i="2"/>
  <c r="B37" i="2"/>
  <c r="I36" i="2"/>
  <c r="H36" i="2"/>
  <c r="G36" i="2"/>
  <c r="F36" i="2"/>
  <c r="E36" i="2"/>
  <c r="D36" i="2"/>
  <c r="C36" i="2"/>
  <c r="B36" i="2"/>
  <c r="I35" i="2"/>
  <c r="H35" i="2"/>
  <c r="G35" i="2"/>
  <c r="F35" i="2"/>
  <c r="E35" i="2"/>
  <c r="D35" i="2"/>
  <c r="C35" i="2"/>
  <c r="B35" i="2"/>
  <c r="I34" i="2"/>
  <c r="H34" i="2"/>
  <c r="G34" i="2"/>
  <c r="F34" i="2"/>
  <c r="E34" i="2"/>
  <c r="D34" i="2"/>
  <c r="C34" i="2"/>
  <c r="B34" i="2"/>
  <c r="I33" i="2"/>
  <c r="H33" i="2"/>
  <c r="G33" i="2"/>
  <c r="F33" i="2"/>
  <c r="E33" i="2"/>
  <c r="D33" i="2"/>
  <c r="C33" i="2"/>
  <c r="B33" i="2"/>
  <c r="I32" i="2"/>
  <c r="H32" i="2"/>
  <c r="G32" i="2"/>
  <c r="F32" i="2"/>
  <c r="E32" i="2"/>
  <c r="D32" i="2"/>
  <c r="C32" i="2"/>
  <c r="B32" i="2"/>
  <c r="I31" i="2"/>
  <c r="H31" i="2"/>
  <c r="G31" i="2"/>
  <c r="F31" i="2"/>
  <c r="E31" i="2"/>
  <c r="D31" i="2"/>
  <c r="C31" i="2"/>
  <c r="B31" i="2"/>
  <c r="I30" i="2"/>
  <c r="H30" i="2"/>
  <c r="G30" i="2"/>
  <c r="F30" i="2"/>
  <c r="E30" i="2"/>
  <c r="D30" i="2"/>
  <c r="C30" i="2"/>
  <c r="B30" i="2"/>
  <c r="I29" i="2"/>
  <c r="H29" i="2"/>
  <c r="G29" i="2"/>
  <c r="F29" i="2"/>
  <c r="E29" i="2"/>
  <c r="D29" i="2"/>
  <c r="C29" i="2"/>
  <c r="B29" i="2"/>
  <c r="I28" i="2"/>
  <c r="H28" i="2"/>
  <c r="G28" i="2"/>
  <c r="F28" i="2"/>
  <c r="E28" i="2"/>
  <c r="D28" i="2"/>
  <c r="C28" i="2"/>
  <c r="B28" i="2"/>
  <c r="I27" i="2"/>
  <c r="H27" i="2"/>
  <c r="G27" i="2"/>
  <c r="F27" i="2"/>
  <c r="E27" i="2"/>
  <c r="D27" i="2"/>
  <c r="C27" i="2"/>
  <c r="B27" i="2"/>
  <c r="I26" i="2"/>
  <c r="H26" i="2"/>
  <c r="G26" i="2"/>
  <c r="F26" i="2"/>
  <c r="E26" i="2"/>
  <c r="D26" i="2"/>
  <c r="C26" i="2"/>
  <c r="B26" i="2"/>
  <c r="I25" i="2"/>
  <c r="H25" i="2"/>
  <c r="G25" i="2"/>
  <c r="F25" i="2"/>
  <c r="E25" i="2"/>
  <c r="D25" i="2"/>
  <c r="C25" i="2"/>
  <c r="B25" i="2"/>
  <c r="I24" i="2"/>
  <c r="H24" i="2"/>
  <c r="G24" i="2"/>
  <c r="F24" i="2"/>
  <c r="E24" i="2"/>
  <c r="D24" i="2"/>
  <c r="C24" i="2"/>
  <c r="B24" i="2"/>
  <c r="I20" i="2"/>
  <c r="H20" i="2"/>
  <c r="G20" i="2"/>
  <c r="F20" i="2"/>
  <c r="E20" i="2"/>
  <c r="D20" i="2"/>
  <c r="C20" i="2"/>
  <c r="B20" i="2"/>
  <c r="I19" i="2"/>
  <c r="H19" i="2"/>
  <c r="G19" i="2"/>
  <c r="F19" i="2"/>
  <c r="E19" i="2"/>
  <c r="D19" i="2"/>
  <c r="C19" i="2"/>
  <c r="B19" i="2"/>
  <c r="I18" i="2"/>
  <c r="H18" i="2"/>
  <c r="G18" i="2"/>
  <c r="F18" i="2"/>
  <c r="E18" i="2"/>
  <c r="D18" i="2"/>
  <c r="C18" i="2"/>
  <c r="B18" i="2"/>
  <c r="I17" i="2"/>
  <c r="H17" i="2"/>
  <c r="G17" i="2"/>
  <c r="F17" i="2"/>
  <c r="E17" i="2"/>
  <c r="D17" i="2"/>
  <c r="C17" i="2"/>
  <c r="B17" i="2"/>
  <c r="I16" i="2"/>
  <c r="H16" i="2"/>
  <c r="G16" i="2"/>
  <c r="F16" i="2"/>
  <c r="E16" i="2"/>
  <c r="D16" i="2"/>
  <c r="C16" i="2"/>
  <c r="B16" i="2"/>
  <c r="I15" i="2"/>
  <c r="H15" i="2"/>
  <c r="G15" i="2"/>
  <c r="F15" i="2"/>
  <c r="E15" i="2"/>
  <c r="D15" i="2"/>
  <c r="C15" i="2"/>
  <c r="B15" i="2"/>
  <c r="I14" i="2"/>
  <c r="H14" i="2"/>
  <c r="G14" i="2"/>
  <c r="F14" i="2"/>
  <c r="E14" i="2"/>
  <c r="D14" i="2"/>
  <c r="C14" i="2"/>
  <c r="B14" i="2"/>
  <c r="I13" i="2"/>
  <c r="H13" i="2"/>
  <c r="G13" i="2"/>
  <c r="F13" i="2"/>
  <c r="E13" i="2"/>
  <c r="D13" i="2"/>
  <c r="C13" i="2"/>
  <c r="B13" i="2"/>
  <c r="I12" i="2"/>
  <c r="H12" i="2"/>
  <c r="G12" i="2"/>
  <c r="F12" i="2"/>
  <c r="E12" i="2"/>
  <c r="D12" i="2"/>
  <c r="C12" i="2"/>
  <c r="B12" i="2"/>
  <c r="I11" i="2"/>
  <c r="H11" i="2"/>
  <c r="G11" i="2"/>
  <c r="F11" i="2"/>
  <c r="E11" i="2"/>
  <c r="D11" i="2"/>
  <c r="C11" i="2"/>
  <c r="B11" i="2"/>
  <c r="I10" i="2"/>
  <c r="H10" i="2"/>
  <c r="G10" i="2"/>
  <c r="F10" i="2"/>
  <c r="E10" i="2"/>
  <c r="D10" i="2"/>
  <c r="C10" i="2"/>
  <c r="B10" i="2"/>
  <c r="I9" i="2"/>
  <c r="H9" i="2"/>
  <c r="G9" i="2"/>
  <c r="F9" i="2"/>
  <c r="E9" i="2"/>
  <c r="D9" i="2"/>
  <c r="C9" i="2"/>
  <c r="B9" i="2"/>
  <c r="I8" i="2"/>
  <c r="H8" i="2"/>
  <c r="G8" i="2"/>
  <c r="F8" i="2"/>
  <c r="E8" i="2"/>
  <c r="D8" i="2"/>
  <c r="C8" i="2"/>
  <c r="B8" i="2"/>
  <c r="I7" i="2"/>
  <c r="H7" i="2"/>
  <c r="G7" i="2"/>
  <c r="F7" i="2"/>
  <c r="E7" i="2"/>
  <c r="D7" i="2"/>
  <c r="C7" i="2"/>
  <c r="B7" i="2"/>
  <c r="I6" i="2"/>
  <c r="H6" i="2"/>
  <c r="G6" i="2"/>
  <c r="F6" i="2"/>
  <c r="E6" i="2"/>
  <c r="D6" i="2"/>
  <c r="C6" i="2"/>
  <c r="B6" i="2"/>
  <c r="I5" i="2"/>
  <c r="H5" i="2"/>
  <c r="G5" i="2"/>
  <c r="F5" i="2"/>
  <c r="E5" i="2"/>
  <c r="D5" i="2"/>
  <c r="C5" i="2"/>
  <c r="B5" i="2"/>
  <c r="I4" i="2"/>
  <c r="H4" i="2"/>
  <c r="G4" i="2"/>
  <c r="F4" i="2"/>
  <c r="E4" i="2"/>
  <c r="D4" i="2"/>
  <c r="C4" i="2"/>
  <c r="B4" i="2"/>
</calcChain>
</file>

<file path=xl/sharedStrings.xml><?xml version="1.0" encoding="utf-8"?>
<sst xmlns="http://schemas.openxmlformats.org/spreadsheetml/2006/main" count="423" uniqueCount="82">
  <si>
    <t>التعويضات المدفوعة (المجموع( التأمين العام والصحي والحياة))</t>
  </si>
  <si>
    <t>الشركة</t>
  </si>
  <si>
    <t>الأقساط المباشرة</t>
  </si>
  <si>
    <t>وارد محلي</t>
  </si>
  <si>
    <t>وارد من الخارج</t>
  </si>
  <si>
    <t>(أ) إجمالي الوارد</t>
  </si>
  <si>
    <t>صادر محلي</t>
  </si>
  <si>
    <t>صادر للخارج</t>
  </si>
  <si>
    <t>(ب) إجمالي الصادر</t>
  </si>
  <si>
    <t>( أ - ب ) الصافي</t>
  </si>
  <si>
    <t>  المدينة للتأمين</t>
  </si>
  <si>
    <t>  الشركة الأمريكية للتأمين على الحياة (متلايف)</t>
  </si>
  <si>
    <t>  الشركة العمانية المتحدة للتأمين</t>
  </si>
  <si>
    <t>  الشركة الهندية الجديدة للتأمين المحدودة</t>
  </si>
  <si>
    <t>  الشركة الوطنية للتأمين على الحياة والعام</t>
  </si>
  <si>
    <t>  العمانية القطرية للتأمين</t>
  </si>
  <si>
    <t>  تكافل عمان للتأمين</t>
  </si>
  <si>
    <t>  شركة التأمين الإيرانية</t>
  </si>
  <si>
    <t>  شركة التأمين العربية السعودية ش.م.ب(م)</t>
  </si>
  <si>
    <t>  شركة التأمين العربية فالكون</t>
  </si>
  <si>
    <t>  شركة أورينت للتأمين</t>
  </si>
  <si>
    <t>  شركة سيغنا الشرق الأوسط للتأمين ش.م.ل</t>
  </si>
  <si>
    <t>  شركة ظفار للتأمين</t>
  </si>
  <si>
    <t>  شركة عمان للتأمين ("سكون للتأمين")</t>
  </si>
  <si>
    <t>  شركة مسقط للتأمين (ش.م.ع.ع)</t>
  </si>
  <si>
    <t>  ليفا للتأمين</t>
  </si>
  <si>
    <t>  مجموعة الخليج للتأمين (الخليج) ش.م.ب (م)</t>
  </si>
  <si>
    <t>جدول رقم(13) : التعويضات المدفوعة (إجمالي التأمين على الحياة)</t>
  </si>
  <si>
    <t>جدول رقم(14) : التعويضات المدفوعة (الحياة (أفراد))</t>
  </si>
  <si>
    <t>جدول رقم(15) : التعويضات المدفوعة (الحياة (مجموعة))</t>
  </si>
  <si>
    <t>جدول رقم(58) : التعويضات المدفوعة (إجمالي التأمين العام)</t>
  </si>
  <si>
    <t>جدول رقم(59) : التعويضات المدفوعة (النقل)</t>
  </si>
  <si>
    <t>جدول رقم(60) : التعويضات المدفوعة (الممتلكات)</t>
  </si>
  <si>
    <t>جدول رقم(61) : التعويضات المدفوعة (المركبات الشامل)</t>
  </si>
  <si>
    <t>جدول رقم(62) : التعويضات المدفوعة (المركبات الطرف الثالث)</t>
  </si>
  <si>
    <t>جدول رقم(63) : التعويضات المدفوعة (المسؤولية)</t>
  </si>
  <si>
    <t>جدول رقم(64) : التعويضات المدفوعة (الهندسي)</t>
  </si>
  <si>
    <t>جدول رقم(65) : التعويضات المدفوعة (الصحي)</t>
  </si>
  <si>
    <t>جدول رقم(66) : التعويضات المدفوعة (الأخرى)</t>
  </si>
  <si>
    <t>إسم مجموعة البيانات</t>
  </si>
  <si>
    <t>وصف مجموعة البيانات</t>
  </si>
  <si>
    <t>يعرض أبرز المؤشرات الإحصائية المرتبطة بقطاع التأمين في سلطنة عمان مثل أقساط التأمين والتعويضات المدفوعة وعدد وثائق التأمين المصدرة وعدد العاملين ومعدلات الاحتفاظ ومعدلات الخسائر لمختلف فروع التأمين، إضافة إلى المؤشرات المالية لشركات التأمين وأدائها التشغيلي ابتداءً من عام 2003م.</t>
  </si>
  <si>
    <t>الفئة</t>
  </si>
  <si>
    <t>قطاع التأمين</t>
  </si>
  <si>
    <t>الدورية</t>
  </si>
  <si>
    <t>سنوي</t>
  </si>
  <si>
    <t>الكلمات المفتاحية</t>
  </si>
  <si>
    <t>التأمين التقليدي، التأمين التكافلي، الأقساط المباشرة، الأقساط المكتسبة، المطالبات، التعويضات، الوثائق، معدل الاحتفاظ، معدل الخسائر، المخصصات الفنية</t>
  </si>
  <si>
    <t>تاريخ النشر</t>
  </si>
  <si>
    <t>تاريخ التعديل</t>
  </si>
  <si>
    <t>آني</t>
  </si>
  <si>
    <t>اسم نقطة التواصل</t>
  </si>
  <si>
    <t>فريق البيانات المفتوحة</t>
  </si>
  <si>
    <t>رقم التواصل</t>
  </si>
  <si>
    <t>[24823162] , [24823277]</t>
  </si>
  <si>
    <t>البريد الإلكتروني</t>
  </si>
  <si>
    <t>digital@fsa.gov.om</t>
  </si>
  <si>
    <t>صيغة الملف</t>
  </si>
  <si>
    <t>XLSX, HTML, JSON</t>
  </si>
  <si>
    <t>الفترة المرجعية للبيانات</t>
  </si>
  <si>
    <t>2003-2022</t>
  </si>
  <si>
    <t>التغطية الجغرافية للبيانات</t>
  </si>
  <si>
    <t>شركات التأمين العاملة في سلطنة عمان</t>
  </si>
  <si>
    <t>مؤشرات اجمالية</t>
  </si>
  <si>
    <t>مؤشرات إجمالية لعام 2022م: إجمالي الأقساط المباشرة: 541.326 مليون ريال عماني إجمالي الأقساط المباشرة للتأمين التكافلي: 76.256 مليون ريال عماني إجمالي التعويضات المدفوعة 317.035 مليون ريال عماني عدد الوثائق المصدرة: 2,027,527 وثيقة</t>
  </si>
  <si>
    <t>المصدر</t>
  </si>
  <si>
    <t>دائرة التحليل المالي وإدارة المخاطر</t>
  </si>
  <si>
    <t>اللغة</t>
  </si>
  <si>
    <t>الانجليزية</t>
  </si>
  <si>
    <t>التعويضات المدفوعة</t>
  </si>
  <si>
    <t>م</t>
  </si>
  <si>
    <t>اسم المتغير</t>
  </si>
  <si>
    <t>وصف المتغير</t>
  </si>
  <si>
    <t>نوع البيانات</t>
  </si>
  <si>
    <t>مستوى الإلزامية(إجباري/ اختياري)</t>
  </si>
  <si>
    <t>اسم شركة التأمين</t>
  </si>
  <si>
    <t>نص</t>
  </si>
  <si>
    <t>إلزامي</t>
  </si>
  <si>
    <t>رقم</t>
  </si>
  <si>
    <t>إجمالي الوارد</t>
  </si>
  <si>
    <t>إجمالي الصادر</t>
  </si>
  <si>
    <t>الصافي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</si>
</sst>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Arial"/>
      <family val="2"/>
      <scheme val="minor"/>
    </font>
    <font>
      <sz val="11"/>
      <color theme="1"/>
      <name val="Arial"/>
      <family val="2"/>
      <scheme val="minor"/>
    </font>
    <font>
      <sz val="18"/>
      <color theme="3"/>
      <name val="Times New Roman"/>
      <family val="2"/>
      <scheme val="major"/>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65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1"/>
      <color theme="0"/>
      <name val="Arial"/>
      <family val="2"/>
      <scheme val="minor"/>
    </font>
    <font>
      <sz val="10"/>
      <color theme="1"/>
      <name val="Arial"/>
      <family val="2"/>
      <scheme val="minor"/>
    </font>
    <font>
      <sz val="10"/>
      <color rgb="FFFFFFFF"/>
      <name val="Arial"/>
      <family val="2"/>
      <scheme val="minor"/>
    </font>
    <font>
      <b/>
      <sz val="10"/>
      <color rgb="FF000000"/>
      <name val="Arial"/>
      <family val="2"/>
      <scheme val="minor"/>
    </font>
    <font>
      <b/>
      <sz val="10"/>
      <color theme="1"/>
      <name val="Arial"/>
      <family val="2"/>
      <scheme val="minor"/>
    </font>
    <font>
      <sz val="14"/>
      <color theme="0"/>
      <name val="Arial"/>
      <family val="2"/>
      <scheme val="minor"/>
    </font>
    <font>
      <sz val="11"/>
      <color rgb="FF212529"/>
      <name val="Arial"/>
      <family val="2"/>
      <scheme val="minor"/>
    </font>
    <font>
      <b/>
      <sz val="12"/>
      <color rgb="FF000000"/>
      <name val="Arial"/>
      <family val="2"/>
      <scheme val="minor"/>
    </font>
    <font>
      <sz val="12"/>
      <color rgb="FF000000"/>
      <name val="Arial"/>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7AB7"/>
        <bgColor indexed="64"/>
      </patternFill>
    </fill>
    <fill>
      <patternFill patternType="solid">
        <fgColor rgb="FFD2D6DE"/>
        <bgColor indexed="64"/>
      </patternFill>
    </fill>
    <fill>
      <patternFill patternType="solid">
        <fgColor rgb="FFFFFFFF"/>
        <bgColor indexed="64"/>
      </patternFill>
    </fill>
    <fill>
      <patternFill patternType="solid">
        <fgColor rgb="FF4472C4"/>
        <bgColor rgb="FF000000"/>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rgb="FF6CA5DA"/>
      </left>
      <right style="medium">
        <color rgb="FF6CA5DA"/>
      </right>
      <top style="medium">
        <color rgb="FF6CA5DA"/>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
    <xf numFmtId="0" fontId="0" fillId="0" borderId="0" xfId="0"/>
    <xf numFmtId="0" fontId="20" fillId="34" borderId="0" xfId="0" applyFont="1" applyFill="1" applyAlignment="1">
      <alignment horizontal="center" vertical="center" wrapText="1"/>
    </xf>
    <xf numFmtId="0" fontId="21" fillId="0" borderId="0" xfId="0" applyFont="1" applyAlignment="1">
      <alignment horizontal="center" vertical="center" wrapText="1"/>
    </xf>
    <xf numFmtId="0" fontId="18" fillId="0" borderId="0" xfId="0" applyFont="1" applyAlignment="1">
      <alignment wrapText="1"/>
    </xf>
    <xf numFmtId="0" fontId="20" fillId="34" borderId="0" xfId="0" applyFont="1" applyFill="1" applyAlignment="1">
      <alignment horizontal="center" vertical="center" wrapText="1"/>
    </xf>
    <xf numFmtId="0" fontId="19" fillId="33" borderId="0" xfId="0" applyFont="1" applyFill="1" applyAlignment="1">
      <alignment horizontal="center" wrapText="1"/>
    </xf>
    <xf numFmtId="0" fontId="22" fillId="25" borderId="10" xfId="34" applyFont="1" applyBorder="1" applyAlignment="1">
      <alignment horizontal="center" vertical="center" wrapText="1"/>
    </xf>
    <xf numFmtId="0" fontId="23" fillId="35" borderId="11" xfId="0" applyFont="1" applyFill="1" applyBorder="1" applyAlignment="1">
      <alignment horizontal="right" vertical="center" wrapText="1"/>
    </xf>
    <xf numFmtId="14" fontId="23" fillId="35" borderId="11" xfId="0" applyNumberFormat="1" applyFont="1" applyFill="1" applyBorder="1" applyAlignment="1">
      <alignment horizontal="center" vertical="center" wrapText="1"/>
    </xf>
    <xf numFmtId="0" fontId="17" fillId="36" borderId="11" xfId="34" applyFill="1" applyBorder="1" applyAlignment="1">
      <alignment horizontal="center" vertical="center" wrapText="1" readingOrder="2"/>
    </xf>
    <xf numFmtId="0" fontId="24" fillId="0" borderId="12" xfId="0" applyFont="1" applyBorder="1" applyAlignment="1">
      <alignment horizontal="center" vertical="center" wrapText="1" readingOrder="2"/>
    </xf>
    <xf numFmtId="0" fontId="25" fillId="0" borderId="12" xfId="0" applyFont="1" applyBorder="1" applyAlignment="1">
      <alignment horizontal="center" vertical="center" wrapText="1" readingOrder="2"/>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rightToLeft="1" tabSelected="1" workbookViewId="0">
      <selection activeCell="B6" sqref="B6"/>
    </sheetView>
  </sheetViews>
  <sheetFormatPr defaultRowHeight="14" x14ac:dyDescent="0.3"/>
  <cols>
    <col min="1" max="1" width="40.1640625" customWidth="1"/>
    <col min="2" max="2" width="41.75" customWidth="1"/>
  </cols>
  <sheetData>
    <row r="1" spans="1:2" ht="17.5" x14ac:dyDescent="0.3">
      <c r="A1" s="6" t="s">
        <v>39</v>
      </c>
      <c r="B1" s="6" t="s">
        <v>69</v>
      </c>
    </row>
    <row r="2" spans="1:2" ht="70" x14ac:dyDescent="0.3">
      <c r="A2" s="7" t="s">
        <v>40</v>
      </c>
      <c r="B2" s="7" t="s">
        <v>41</v>
      </c>
    </row>
    <row r="3" spans="1:2" x14ac:dyDescent="0.3">
      <c r="A3" s="7" t="s">
        <v>42</v>
      </c>
      <c r="B3" s="7" t="s">
        <v>43</v>
      </c>
    </row>
    <row r="4" spans="1:2" x14ac:dyDescent="0.3">
      <c r="A4" s="7" t="s">
        <v>44</v>
      </c>
      <c r="B4" s="7" t="s">
        <v>45</v>
      </c>
    </row>
    <row r="5" spans="1:2" ht="42" x14ac:dyDescent="0.3">
      <c r="A5" s="7" t="s">
        <v>46</v>
      </c>
      <c r="B5" s="7" t="s">
        <v>47</v>
      </c>
    </row>
    <row r="6" spans="1:2" x14ac:dyDescent="0.3">
      <c r="A6" s="7" t="s">
        <v>48</v>
      </c>
      <c r="B6" s="8">
        <v>44568</v>
      </c>
    </row>
    <row r="7" spans="1:2" x14ac:dyDescent="0.3">
      <c r="A7" s="7" t="s">
        <v>49</v>
      </c>
      <c r="B7" s="7" t="s">
        <v>50</v>
      </c>
    </row>
    <row r="8" spans="1:2" x14ac:dyDescent="0.3">
      <c r="A8" s="7" t="s">
        <v>51</v>
      </c>
      <c r="B8" s="7" t="s">
        <v>52</v>
      </c>
    </row>
    <row r="9" spans="1:2" x14ac:dyDescent="0.3">
      <c r="A9" s="7" t="s">
        <v>53</v>
      </c>
      <c r="B9" s="7" t="s">
        <v>54</v>
      </c>
    </row>
    <row r="10" spans="1:2" x14ac:dyDescent="0.3">
      <c r="A10" s="7" t="s">
        <v>55</v>
      </c>
      <c r="B10" s="7" t="s">
        <v>56</v>
      </c>
    </row>
    <row r="11" spans="1:2" x14ac:dyDescent="0.3">
      <c r="A11" s="7" t="s">
        <v>57</v>
      </c>
      <c r="B11" s="7" t="s">
        <v>58</v>
      </c>
    </row>
    <row r="12" spans="1:2" x14ac:dyDescent="0.3">
      <c r="A12" s="7" t="s">
        <v>59</v>
      </c>
      <c r="B12" s="7" t="s">
        <v>60</v>
      </c>
    </row>
    <row r="13" spans="1:2" x14ac:dyDescent="0.3">
      <c r="A13" s="7" t="s">
        <v>61</v>
      </c>
      <c r="B13" s="7" t="s">
        <v>62</v>
      </c>
    </row>
    <row r="14" spans="1:2" ht="70" x14ac:dyDescent="0.3">
      <c r="A14" s="7" t="s">
        <v>63</v>
      </c>
      <c r="B14" s="7" t="s">
        <v>64</v>
      </c>
    </row>
    <row r="15" spans="1:2" x14ac:dyDescent="0.3">
      <c r="A15" s="7" t="s">
        <v>65</v>
      </c>
      <c r="B15" s="7" t="s">
        <v>66</v>
      </c>
    </row>
    <row r="16" spans="1:2" x14ac:dyDescent="0.3">
      <c r="A16" s="7" t="s">
        <v>67</v>
      </c>
      <c r="B16" s="7" t="s">
        <v>68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rightToLeft="1" workbookViewId="0">
      <selection activeCell="D16" sqref="D16"/>
    </sheetView>
  </sheetViews>
  <sheetFormatPr defaultRowHeight="14" x14ac:dyDescent="0.3"/>
  <cols>
    <col min="1" max="3" width="20.58203125" customWidth="1"/>
    <col min="4" max="4" width="22.4140625" customWidth="1"/>
    <col min="5" max="5" width="25.5" customWidth="1"/>
  </cols>
  <sheetData>
    <row r="1" spans="1:5" x14ac:dyDescent="0.3">
      <c r="A1" s="9" t="s">
        <v>70</v>
      </c>
      <c r="B1" s="9" t="s">
        <v>71</v>
      </c>
      <c r="C1" s="9" t="s">
        <v>72</v>
      </c>
      <c r="D1" s="9" t="s">
        <v>73</v>
      </c>
      <c r="E1" s="9" t="s">
        <v>74</v>
      </c>
    </row>
    <row r="2" spans="1:5" ht="15.5" x14ac:dyDescent="0.3">
      <c r="A2" s="10">
        <v>1</v>
      </c>
      <c r="B2" s="11" t="s">
        <v>1</v>
      </c>
      <c r="C2" s="11" t="s">
        <v>75</v>
      </c>
      <c r="D2" s="11" t="s">
        <v>76</v>
      </c>
      <c r="E2" s="11" t="s">
        <v>77</v>
      </c>
    </row>
    <row r="3" spans="1:5" ht="15.5" x14ac:dyDescent="0.3">
      <c r="A3" s="10">
        <v>2</v>
      </c>
      <c r="B3" s="11" t="s">
        <v>2</v>
      </c>
      <c r="C3" s="11" t="s">
        <v>2</v>
      </c>
      <c r="D3" s="11" t="s">
        <v>78</v>
      </c>
      <c r="E3" s="11" t="s">
        <v>77</v>
      </c>
    </row>
    <row r="4" spans="1:5" ht="15.5" x14ac:dyDescent="0.3">
      <c r="A4" s="10">
        <v>3</v>
      </c>
      <c r="B4" s="11" t="s">
        <v>3</v>
      </c>
      <c r="C4" s="11" t="s">
        <v>3</v>
      </c>
      <c r="D4" s="11" t="s">
        <v>78</v>
      </c>
      <c r="E4" s="11" t="s">
        <v>77</v>
      </c>
    </row>
    <row r="5" spans="1:5" ht="15.5" x14ac:dyDescent="0.3">
      <c r="A5" s="10">
        <v>4</v>
      </c>
      <c r="B5" s="11" t="s">
        <v>4</v>
      </c>
      <c r="C5" s="11" t="s">
        <v>4</v>
      </c>
      <c r="D5" s="11" t="s">
        <v>78</v>
      </c>
      <c r="E5" s="11" t="s">
        <v>77</v>
      </c>
    </row>
    <row r="6" spans="1:5" ht="15.5" x14ac:dyDescent="0.3">
      <c r="A6" s="10">
        <v>5</v>
      </c>
      <c r="B6" s="11" t="s">
        <v>79</v>
      </c>
      <c r="C6" s="11" t="s">
        <v>79</v>
      </c>
      <c r="D6" s="11" t="s">
        <v>78</v>
      </c>
      <c r="E6" s="11" t="s">
        <v>77</v>
      </c>
    </row>
    <row r="7" spans="1:5" ht="15.5" x14ac:dyDescent="0.3">
      <c r="A7" s="10">
        <v>6</v>
      </c>
      <c r="B7" s="11" t="s">
        <v>6</v>
      </c>
      <c r="C7" s="11" t="s">
        <v>6</v>
      </c>
      <c r="D7" s="11" t="s">
        <v>78</v>
      </c>
      <c r="E7" s="11" t="s">
        <v>77</v>
      </c>
    </row>
    <row r="8" spans="1:5" ht="15.5" x14ac:dyDescent="0.3">
      <c r="A8" s="10">
        <v>7</v>
      </c>
      <c r="B8" s="11" t="s">
        <v>7</v>
      </c>
      <c r="C8" s="11" t="s">
        <v>7</v>
      </c>
      <c r="D8" s="11" t="s">
        <v>78</v>
      </c>
      <c r="E8" s="11" t="s">
        <v>77</v>
      </c>
    </row>
    <row r="9" spans="1:5" ht="15.5" x14ac:dyDescent="0.3">
      <c r="A9" s="10">
        <v>8</v>
      </c>
      <c r="B9" s="11" t="s">
        <v>80</v>
      </c>
      <c r="C9" s="11" t="s">
        <v>80</v>
      </c>
      <c r="D9" s="11" t="s">
        <v>78</v>
      </c>
      <c r="E9" s="11" t="s">
        <v>77</v>
      </c>
    </row>
    <row r="10" spans="1:5" ht="15.5" x14ac:dyDescent="0.3">
      <c r="A10" s="10">
        <v>9</v>
      </c>
      <c r="B10" s="11" t="s">
        <v>81</v>
      </c>
      <c r="C10" s="11" t="s">
        <v>81</v>
      </c>
      <c r="D10" s="11" t="s">
        <v>78</v>
      </c>
      <c r="E10" s="11" t="s">
        <v>77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0"/>
  <sheetViews>
    <sheetView rightToLeft="1" workbookViewId="0">
      <selection sqref="A1:I1"/>
    </sheetView>
  </sheetViews>
  <sheetFormatPr defaultRowHeight="12.75" x14ac:dyDescent="0.3"/>
  <cols>
    <col min="1" max="1" width="26.75" bestFit="1" customWidth="1"/>
    <col min="2" max="2" width="9.75" bestFit="1" customWidth="1"/>
    <col min="3" max="3" width="6.58203125" bestFit="1" customWidth="1"/>
    <col min="4" max="4" width="9.5" bestFit="1" customWidth="1"/>
    <col min="5" max="5" width="10.08203125" bestFit="1" customWidth="1"/>
    <col min="6" max="6" width="7.1640625" bestFit="1" customWidth="1"/>
    <col min="7" max="7" width="8.08203125" bestFit="1" customWidth="1"/>
    <col min="8" max="8" width="11.4140625" bestFit="1" customWidth="1"/>
    <col min="9" max="9" width="10.33203125" bestFit="1" customWidth="1"/>
  </cols>
  <sheetData>
    <row r="1" spans="1:9" ht="12.5" customHeight="1" x14ac:dyDescent="0.3">
      <c r="A1" s="5" t="s">
        <v>0</v>
      </c>
      <c r="B1" s="5"/>
      <c r="C1" s="5"/>
      <c r="D1" s="5"/>
      <c r="E1" s="5"/>
      <c r="F1" s="5"/>
      <c r="G1" s="5"/>
      <c r="H1" s="5"/>
      <c r="I1" s="5"/>
    </row>
    <row r="2" spans="1:9" ht="14" x14ac:dyDescent="0.3">
      <c r="A2" s="4" t="s">
        <v>1</v>
      </c>
      <c r="B2" s="1" t="s">
        <v>2</v>
      </c>
      <c r="C2" s="1" t="s">
        <v>3</v>
      </c>
      <c r="D2" s="1" t="s">
        <v>4</v>
      </c>
      <c r="E2" s="1" t="s">
        <v>5</v>
      </c>
      <c r="F2" s="1" t="s">
        <v>6</v>
      </c>
      <c r="G2" s="1" t="s">
        <v>7</v>
      </c>
      <c r="H2" s="1" t="s">
        <v>8</v>
      </c>
      <c r="I2" s="1" t="s">
        <v>9</v>
      </c>
    </row>
    <row r="3" spans="1:9" ht="14" x14ac:dyDescent="0.3">
      <c r="A3" s="4"/>
      <c r="B3" s="1">
        <v>2023</v>
      </c>
      <c r="C3" s="1">
        <v>2023</v>
      </c>
      <c r="D3" s="1">
        <v>2023</v>
      </c>
      <c r="E3" s="1">
        <v>2023</v>
      </c>
      <c r="F3" s="1">
        <v>2023</v>
      </c>
      <c r="G3" s="1">
        <v>2023</v>
      </c>
      <c r="H3" s="1">
        <v>2023</v>
      </c>
      <c r="I3" s="1">
        <v>2023</v>
      </c>
    </row>
    <row r="4" spans="1:9" ht="14" x14ac:dyDescent="0.3">
      <c r="A4" s="2" t="s">
        <v>10</v>
      </c>
      <c r="B4" s="3">
        <f>((49623+8713233+(2779935+2273472)+125614+4838761+221178)+(96368+1785565)+5005024)</f>
        <v>25888773</v>
      </c>
      <c r="C4" s="3">
        <f>((0+0+(0+0)+0+0+0)+(0+0)+0)</f>
        <v>0</v>
      </c>
      <c r="D4" s="3">
        <f>((0+0+(0+0)+0+0+0)+(0+0)+0)</f>
        <v>0</v>
      </c>
      <c r="E4" s="3">
        <f>(((49623+8713233+(2779935+2273472)+125614+4838761+221178)+(96368+1785565)+5005024)+((0+0+(0+0)+0+0+0)+(0+0)+0)+((0+0+(0+0)+0+0+0)+(0+0)+0))</f>
        <v>25888773</v>
      </c>
      <c r="F4" s="3">
        <f>((0+0+(0+0)+0+0+0)+(0+0)+0)</f>
        <v>0</v>
      </c>
      <c r="G4" s="3">
        <f>((52151+8622146+(618464+350042)+864+205841+4848137)+(70748+1519203)+1627463)</f>
        <v>17915059</v>
      </c>
      <c r="H4" s="3">
        <f>(((0+0+(0+0)+0+0+0)+(0+0)+0)+((52151+8622146+(618464+350042)+864+205841+4848137)+(70748+1519203)+1627463))</f>
        <v>17915059</v>
      </c>
      <c r="I4" s="3">
        <f>((((49623+8713233+(2779935+2273472)+125614+4838761+221178)+(96368+1785565)+5005024)+((0+0+(0+0)+0+0+0)+(0+0)+0)+((0+0+(0+0)+0+0+0)+(0+0)+0))-(((0+0+(0+0)+0+0+0)+(0+0)+0)+((52151+8622146+(618464+350042)+864+205841+4848137)+(70748+1519203)+1627463)))</f>
        <v>7973714</v>
      </c>
    </row>
    <row r="5" spans="1:9" ht="14" x14ac:dyDescent="0.3">
      <c r="A5" s="2" t="s">
        <v>11</v>
      </c>
      <c r="B5" s="3">
        <f>((0+0+(0+0)+0+0+421064)+(56526+103676)+2837805)</f>
        <v>3419071</v>
      </c>
      <c r="C5" s="3">
        <f>((0+0+(0+0)+0+0+0)+(0+0)+0)</f>
        <v>0</v>
      </c>
      <c r="D5" s="3">
        <f>((0+0+(0+0)+0+0+0)+(0+0)+0)</f>
        <v>0</v>
      </c>
      <c r="E5" s="3">
        <f>(((0+0+(0+0)+0+0+421064)+(56526+103676)+2837805)+((0+0+(0+0)+0+0+0)+(0+0)+0)+((0+0+(0+0)+0+0+0)+(0+0)+0))</f>
        <v>3419071</v>
      </c>
      <c r="F5" s="3">
        <f>((0+0+(0+0)+0+0+0)+(0+0)+0)</f>
        <v>0</v>
      </c>
      <c r="G5" s="3">
        <f>((0+0+(0+0)+0+0+(-48))+((-2348)+42756)+1615463)</f>
        <v>1655823</v>
      </c>
      <c r="H5" s="3">
        <f>(((0+0+(0+0)+0+0+0)+(0+0)+0)+((0+0+(0+0)+0+0+(-48))+((-2348)+42756)+1615463))</f>
        <v>1655823</v>
      </c>
      <c r="I5" s="3">
        <f>((((0+0+(0+0)+0+0+421064)+(56526+103676)+2837805)+((0+0+(0+0)+0+0+0)+(0+0)+0)+((0+0+(0+0)+0+0+0)+(0+0)+0))-(((0+0+(0+0)+0+0+0)+(0+0)+0)+((0+0+(0+0)+0+0+(-48))+((-2348)+42756)+1615463)))</f>
        <v>1763248</v>
      </c>
    </row>
    <row r="6" spans="1:9" ht="14" x14ac:dyDescent="0.3">
      <c r="A6" s="2" t="s">
        <v>12</v>
      </c>
      <c r="B6" s="3">
        <f>((684141+323677+(6207474+6938000)+67836+152299+1280934)+(5694+1685520)+2072313)</f>
        <v>19417888</v>
      </c>
      <c r="C6" s="3">
        <f>(((-3027)+40501+(0+0)+0+43377+0)+(0+0)+0)</f>
        <v>80851</v>
      </c>
      <c r="D6" s="3">
        <f t="shared" ref="D6:D20" si="0">((0+0+(0+0)+0+0+0)+(0+0)+0)</f>
        <v>0</v>
      </c>
      <c r="E6" s="3">
        <f>(((684141+323677+(6207474+6938000)+67836+152299+1280934)+(5694+1685520)+2072313)+(((-3027)+40501+(0+0)+0+43377+0)+(0+0)+0)+((0+0+(0+0)+0+0+0)+(0+0)+0))</f>
        <v>19498739</v>
      </c>
      <c r="F6" s="3">
        <f>((169857+42815+(0+0)+0+0+0)+(0+0)+0)</f>
        <v>212672</v>
      </c>
      <c r="G6" s="3">
        <f>((477881+304486+(236190+1523599)+30155+185804+565322)+(4271+1321379)+1231770)</f>
        <v>5880857</v>
      </c>
      <c r="H6" s="3">
        <f>(((169857+42815+(0+0)+0+0+0)+(0+0)+0)+((477881+304486+(236190+1523599)+30155+185804+565322)+(4271+1321379)+1231770))</f>
        <v>6093529</v>
      </c>
      <c r="I6" s="3">
        <f>((((684141+323677+(6207474+6938000)+67836+152299+1280934)+(5694+1685520)+2072313)+(((-3027)+40501+(0+0)+0+43377+0)+(0+0)+0)+((0+0+(0+0)+0+0+0)+(0+0)+0))-(((169857+42815+(0+0)+0+0+0)+(0+0)+0)+((477881+304486+(236190+1523599)+30155+185804+565322)+(4271+1321379)+1231770)))</f>
        <v>13405210</v>
      </c>
    </row>
    <row r="7" spans="1:9" ht="14" x14ac:dyDescent="0.3">
      <c r="A7" s="2" t="s">
        <v>13</v>
      </c>
      <c r="B7" s="3">
        <f>((39873+1479531+(1183480+2695841)+139308+517911+215146)+(0+0)+2077016)</f>
        <v>8348106</v>
      </c>
      <c r="C7" s="3">
        <f>((41471+131926+(0+0)+0+8173+0)+(0+0)+141800)</f>
        <v>323370</v>
      </c>
      <c r="D7" s="3">
        <f t="shared" si="0"/>
        <v>0</v>
      </c>
      <c r="E7" s="3">
        <f>(((39873+1479531+(1183480+2695841)+139308+517911+215146)+(0+0)+2077016)+((41471+131926+(0+0)+0+8173+0)+(0+0)+141800)+((0+0+(0+0)+0+0+0)+(0+0)+0))</f>
        <v>8671476</v>
      </c>
      <c r="F7" s="3">
        <f>((0+117470+(0+0)+0+2636+0)+(0+0)+0)</f>
        <v>120106</v>
      </c>
      <c r="G7" s="3">
        <f>((0+353255+(0+441573)+0+96044+0)+(0+0)+0)</f>
        <v>890872</v>
      </c>
      <c r="H7" s="3">
        <f>(((0+117470+(0+0)+0+2636+0)+(0+0)+0)+((0+353255+(0+441573)+0+96044+0)+(0+0)+0))</f>
        <v>1010978</v>
      </c>
      <c r="I7" s="3">
        <f>((((39873+1479531+(1183480+2695841)+139308+517911+215146)+(0+0)+2077016)+((41471+131926+(0+0)+0+8173+0)+(0+0)+141800)+((0+0+(0+0)+0+0+0)+(0+0)+0))-(((0+117470+(0+0)+0+2636+0)+(0+0)+0)+((0+353255+(0+441573)+0+96044+0)+(0+0)+0)))</f>
        <v>7660498</v>
      </c>
    </row>
    <row r="8" spans="1:9" ht="14" x14ac:dyDescent="0.3">
      <c r="A8" s="2" t="s">
        <v>14</v>
      </c>
      <c r="B8" s="3">
        <f>((200+33490+(3314692+5629767)+28683+335167+26162)+(516565+2376990)+102805833)</f>
        <v>115067549</v>
      </c>
      <c r="C8" s="3">
        <f>((0+0+(0+0)+0+0+0)+(0+0)+0)</f>
        <v>0</v>
      </c>
      <c r="D8" s="3">
        <f t="shared" si="0"/>
        <v>0</v>
      </c>
      <c r="E8" s="3">
        <f>(((200+33490+(3314692+5629767)+28683+335167+26162)+(516565+2376990)+102805833)+((0+0+(0+0)+0+0+0)+(0+0)+0)+((0+0+(0+0)+0+0+0)+(0+0)+0))</f>
        <v>115067549</v>
      </c>
      <c r="F8" s="3">
        <f>((157+0+(5964+15704)+0+72166+1306)+(0+0)+0)</f>
        <v>95297</v>
      </c>
      <c r="G8" s="3">
        <f>((23+34101+(18048+745208)+0+244756+11268)+(49180+1322405)+23192860)</f>
        <v>25617849</v>
      </c>
      <c r="H8" s="3">
        <f>(((157+0+(5964+15704)+0+72166+1306)+(0+0)+0)+((23+34101+(18048+745208)+0+244756+11268)+(49180+1322405)+23192860))</f>
        <v>25713146</v>
      </c>
      <c r="I8" s="3">
        <f>((((200+33490+(3314692+5629767)+28683+335167+26162)+(516565+2376990)+102805833)+((0+0+(0+0)+0+0+0)+(0+0)+0)+((0+0+(0+0)+0+0+0)+(0+0)+0))-(((157+0+(5964+15704)+0+72166+1306)+(0+0)+0)+((23+34101+(18048+745208)+0+244756+11268)+(49180+1322405)+23192860)))</f>
        <v>89354403</v>
      </c>
    </row>
    <row r="9" spans="1:9" ht="14" x14ac:dyDescent="0.3">
      <c r="A9" s="2" t="s">
        <v>15</v>
      </c>
      <c r="B9" s="3">
        <f>((1499157+2146134+(3616445+4137270)+245574+2263069+129683)+(0+2741432)+14024987)</f>
        <v>30803751</v>
      </c>
      <c r="C9" s="3">
        <f>((0+0+(0+0)+0+0+0)+(0+0)+0)</f>
        <v>0</v>
      </c>
      <c r="D9" s="3">
        <f t="shared" si="0"/>
        <v>0</v>
      </c>
      <c r="E9" s="3">
        <f>(((1499157+2146134+(3616445+4137270)+245574+2263069+129683)+(0+2741432)+14024987)+((0+0+(0+0)+0+0+0)+(0+0)+0)+((0+0+(0+0)+0+0+0)+(0+0)+0))</f>
        <v>30803751</v>
      </c>
      <c r="F9" s="3">
        <f>((0+19785+(0+0)+0+0+0)+(0+0)+0)</f>
        <v>19785</v>
      </c>
      <c r="G9" s="3">
        <f>((1415076+2068977+(0+454076)+243168+2228381+34912)+(0+2627563)+4447595)</f>
        <v>13519748</v>
      </c>
      <c r="H9" s="3">
        <f>(((0+19785+(0+0)+0+0+0)+(0+0)+0)+((1415076+2068977+(0+454076)+243168+2228381+34912)+(0+2627563)+4447595))</f>
        <v>13539533</v>
      </c>
      <c r="I9" s="3">
        <f>((((1499157+2146134+(3616445+4137270)+245574+2263069+129683)+(0+2741432)+14024987)+((0+0+(0+0)+0+0+0)+(0+0)+0)+((0+0+(0+0)+0+0+0)+(0+0)+0))-(((0+19785+(0+0)+0+0+0)+(0+0)+0)+((1415076+2068977+(0+454076)+243168+2228381+34912)+(0+2627563)+4447595)))</f>
        <v>17264218</v>
      </c>
    </row>
    <row r="10" spans="1:9" ht="14" x14ac:dyDescent="0.3">
      <c r="A10" s="2" t="s">
        <v>16</v>
      </c>
      <c r="B10" s="3">
        <f>((0+6333092+(2855225+3469990)+213218+45526+1291)+(116574+3935785)+5819127)</f>
        <v>22789828</v>
      </c>
      <c r="C10" s="3">
        <f>((0+0+(0+0)+0+0+0)+(0+0)+0)</f>
        <v>0</v>
      </c>
      <c r="D10" s="3">
        <f t="shared" si="0"/>
        <v>0</v>
      </c>
      <c r="E10" s="3">
        <f>(((0+6333092+(2855225+3469990)+213218+45526+1291)+(116574+3935785)+5819127)+((0+0+(0+0)+0+0+0)+(0+0)+0)+((0+0+(0+0)+0+0+0)+(0+0)+0))</f>
        <v>22789828</v>
      </c>
      <c r="F10" s="3">
        <f>((0+632889+(16301+38038)+617+3856+84)+(535+143571)+65165)</f>
        <v>901056</v>
      </c>
      <c r="G10" s="3">
        <f>((0+5430816+(139882+326403)+5297+33092+724)+(11269+3025470)+1886134)</f>
        <v>10859087</v>
      </c>
      <c r="H10" s="3">
        <f>(((0+632889+(16301+38038)+617+3856+84)+(535+143571)+65165)+((0+5430816+(139882+326403)+5297+33092+724)+(11269+3025470)+1886134))</f>
        <v>11760143</v>
      </c>
      <c r="I10" s="3">
        <f>((((0+6333092+(2855225+3469990)+213218+45526+1291)+(116574+3935785)+5819127)+((0+0+(0+0)+0+0+0)+(0+0)+0)+((0+0+(0+0)+0+0+0)+(0+0)+0))-(((0+632889+(16301+38038)+617+3856+84)+(535+143571)+65165)+((0+5430816+(139882+326403)+5297+33092+724)+(11269+3025470)+1886134)))</f>
        <v>11029685</v>
      </c>
    </row>
    <row r="11" spans="1:9" ht="14" x14ac:dyDescent="0.3">
      <c r="A11" s="2" t="s">
        <v>17</v>
      </c>
      <c r="B11" s="3">
        <f>((0+32728+(273528+494514)+463+0+1497)+(0+0)+0)</f>
        <v>802730</v>
      </c>
      <c r="C11" s="3">
        <f>((0+85496+(0+0)+0+2384+0)+(0+0)+0)</f>
        <v>87880</v>
      </c>
      <c r="D11" s="3">
        <f t="shared" si="0"/>
        <v>0</v>
      </c>
      <c r="E11" s="3">
        <f>(((0+32728+(273528+494514)+463+0+1497)+(0+0)+0)+((0+85496+(0+0)+0+2384+0)+(0+0)+0)+((0+0+(0+0)+0+0+0)+(0+0)+0))</f>
        <v>890610</v>
      </c>
      <c r="F11" s="3">
        <f>((0+0+(0+0)+0+0+0)+(0+0)+0)</f>
        <v>0</v>
      </c>
      <c r="G11" s="3">
        <f>((0+0+(0+0)+0+0+0)+(0+0)+0)</f>
        <v>0</v>
      </c>
      <c r="H11" s="3">
        <f>(((0+0+(0+0)+0+0+0)+(0+0)+0)+((0+0+(0+0)+0+0+0)+(0+0)+0))</f>
        <v>0</v>
      </c>
      <c r="I11" s="3">
        <f>((((0+32728+(273528+494514)+463+0+1497)+(0+0)+0)+((0+85496+(0+0)+0+2384+0)+(0+0)+0)+((0+0+(0+0)+0+0+0)+(0+0)+0))-(((0+0+(0+0)+0+0+0)+(0+0)+0)+((0+0+(0+0)+0+0+0)+(0+0)+0)))</f>
        <v>890610</v>
      </c>
    </row>
    <row r="12" spans="1:9" ht="14" x14ac:dyDescent="0.3">
      <c r="A12" s="2" t="s">
        <v>18</v>
      </c>
      <c r="B12" s="3">
        <f>((567+19655+(298035+5587)+4612+11736+0)+(0+0)+1152947)</f>
        <v>1493139</v>
      </c>
      <c r="C12" s="3">
        <f>((0+11788+(0+0)+0+873+0)+(0+0)+0)</f>
        <v>12661</v>
      </c>
      <c r="D12" s="3">
        <f t="shared" si="0"/>
        <v>0</v>
      </c>
      <c r="E12" s="3">
        <f>(((567+19655+(298035+5587)+4612+11736+0)+(0+0)+1152947)+((0+11788+(0+0)+0+873+0)+(0+0)+0)+((0+0+(0+0)+0+0+0)+(0+0)+0))</f>
        <v>1505800</v>
      </c>
      <c r="F12" s="3">
        <f>((0+562+(0+0)+0+4235+0)+(0+0)+0)</f>
        <v>4797</v>
      </c>
      <c r="G12" s="3">
        <f>((453+24953+(24616+0)+0+6949+0)+(0+0)+8730)</f>
        <v>65701</v>
      </c>
      <c r="H12" s="3">
        <f>(((0+562+(0+0)+0+4235+0)+(0+0)+0)+((453+24953+(24616+0)+0+6949+0)+(0+0)+8730))</f>
        <v>70498</v>
      </c>
      <c r="I12" s="3">
        <f>((((567+19655+(298035+5587)+4612+11736+0)+(0+0)+1152947)+((0+11788+(0+0)+0+873+0)+(0+0)+0)+((0+0+(0+0)+0+0+0)+(0+0)+0))-(((0+562+(0+0)+0+4235+0)+(0+0)+0)+((453+24953+(24616+0)+0+6949+0)+(0+0)+8730)))</f>
        <v>1435302</v>
      </c>
    </row>
    <row r="13" spans="1:9" ht="14" x14ac:dyDescent="0.3">
      <c r="A13" s="2" t="s">
        <v>19</v>
      </c>
      <c r="B13" s="3">
        <f>((88310+265084+(2138377+2504596)+37714+187790+14137)+(362948+435294)+1195565)</f>
        <v>7229815</v>
      </c>
      <c r="C13" s="3">
        <f>((0+22570+(0+0)+0+512+0)+(0+112543)+11109)</f>
        <v>146734</v>
      </c>
      <c r="D13" s="3">
        <f t="shared" si="0"/>
        <v>0</v>
      </c>
      <c r="E13" s="3">
        <f>(((88310+265084+(2138377+2504596)+37714+187790+14137)+(362948+435294)+1195565)+((0+22570+(0+0)+0+512+0)+(0+112543)+11109)+((0+0+(0+0)+0+0+0)+(0+0)+0))</f>
        <v>7376549</v>
      </c>
      <c r="F13" s="3">
        <f>((0+22554+(0+0)+0+9708+0)+(0+0)+0)</f>
        <v>32262</v>
      </c>
      <c r="G13" s="3">
        <f>((71054+241484+(655899+1015075)+34289+158295+8658)+(124814+380130)+863923)</f>
        <v>3553621</v>
      </c>
      <c r="H13" s="3">
        <f>(((0+22554+(0+0)+0+9708+0)+(0+0)+0)+((71054+241484+(655899+1015075)+34289+158295+8658)+(124814+380130)+863923))</f>
        <v>3585883</v>
      </c>
      <c r="I13" s="3">
        <f>((((88310+265084+(2138377+2504596)+37714+187790+14137)+(362948+435294)+1195565)+((0+22570+(0+0)+0+512+0)+(0+112543)+11109)+((0+0+(0+0)+0+0+0)+(0+0)+0))-(((0+22554+(0+0)+0+9708+0)+(0+0)+0)+((71054+241484+(655899+1015075)+34289+158295+8658)+(124814+380130)+863923)))</f>
        <v>3790666</v>
      </c>
    </row>
    <row r="14" spans="1:9" ht="14" x14ac:dyDescent="0.3">
      <c r="A14" s="2" t="s">
        <v>20</v>
      </c>
      <c r="B14" s="3">
        <f>((80636+328589+(115678+0)+17394+20888+18690)+(678259+114046)+873167)</f>
        <v>2247347</v>
      </c>
      <c r="C14" s="3">
        <f>((117+11934+(0+0)+0+80+95025)+(0+0)+0)</f>
        <v>107156</v>
      </c>
      <c r="D14" s="3">
        <f t="shared" si="0"/>
        <v>0</v>
      </c>
      <c r="E14" s="3">
        <f>(((80636+328589+(115678+0)+17394+20888+18690)+(678259+114046)+873167)+((117+11934+(0+0)+0+80+95025)+(0+0)+0)+((0+0+(0+0)+0+0+0)+(0+0)+0))</f>
        <v>2354503</v>
      </c>
      <c r="F14" s="3">
        <f>((0+237+(0+0)+0+68+0)+(0+0)+0)</f>
        <v>305</v>
      </c>
      <c r="G14" s="3">
        <f>((79246+298457+(10175+0)+11517+19491+35185)+(624316+102527)+630808)</f>
        <v>1811722</v>
      </c>
      <c r="H14" s="3">
        <f>(((0+237+(0+0)+0+68+0)+(0+0)+0)+((79246+298457+(10175+0)+11517+19491+35185)+(624316+102527)+630808))</f>
        <v>1812027</v>
      </c>
      <c r="I14" s="3">
        <f>((((80636+328589+(115678+0)+17394+20888+18690)+(678259+114046)+873167)+((117+11934+(0+0)+0+80+95025)+(0+0)+0)+((0+0+(0+0)+0+0+0)+(0+0)+0))-(((0+237+(0+0)+0+68+0)+(0+0)+0)+((79246+298457+(10175+0)+11517+19491+35185)+(624316+102527)+630808)))</f>
        <v>542476</v>
      </c>
    </row>
    <row r="15" spans="1:9" ht="14" x14ac:dyDescent="0.3">
      <c r="A15" s="2" t="s">
        <v>21</v>
      </c>
      <c r="B15" s="3">
        <f>((0+0+(0+0)+0+0+0)+(0+0)+2360176)</f>
        <v>2360176</v>
      </c>
      <c r="C15" s="3">
        <f>((0+0+(0+0)+0+0+0)+(0+0)+0)</f>
        <v>0</v>
      </c>
      <c r="D15" s="3">
        <f t="shared" si="0"/>
        <v>0</v>
      </c>
      <c r="E15" s="3">
        <f>(((0+0+(0+0)+0+0+0)+(0+0)+2360176)+((0+0+(0+0)+0+0+0)+(0+0)+0)+((0+0+(0+0)+0+0+0)+(0+0)+0))</f>
        <v>2360176</v>
      </c>
      <c r="F15" s="3">
        <f>((0+0+(0+0)+0+0+0)+(0+0)+0)</f>
        <v>0</v>
      </c>
      <c r="G15" s="3">
        <f>((0+0+(0+0)+0+0+0)+(0+0)+85689)</f>
        <v>85689</v>
      </c>
      <c r="H15" s="3">
        <f>(((0+0+(0+0)+0+0+0)+(0+0)+0)+((0+0+(0+0)+0+0+0)+(0+0)+85689))</f>
        <v>85689</v>
      </c>
      <c r="I15" s="3">
        <f>((((0+0+(0+0)+0+0+0)+(0+0)+2360176)+((0+0+(0+0)+0+0+0)+(0+0)+0)+((0+0+(0+0)+0+0+0)+(0+0)+0))-(((0+0+(0+0)+0+0+0)+(0+0)+0)+((0+0+(0+0)+0+0+0)+(0+0)+85689)))</f>
        <v>2274487</v>
      </c>
    </row>
    <row r="16" spans="1:9" ht="14" x14ac:dyDescent="0.3">
      <c r="A16" s="2" t="s">
        <v>22</v>
      </c>
      <c r="B16" s="3">
        <f>((1090614+6161183+(7855520+6663437)+67331+1255413+1993793)+(364389+5019145)+3307599)</f>
        <v>33778424</v>
      </c>
      <c r="C16" s="3">
        <f>((0+1029+(0+0)+0+0+0)+(0+0)+0)</f>
        <v>1029</v>
      </c>
      <c r="D16" s="3">
        <f t="shared" si="0"/>
        <v>0</v>
      </c>
      <c r="E16" s="3">
        <f>(((1090614+6161183+(7855520+6663437)+67331+1255413+1993793)+(364389+5019145)+3307599)+((0+1029+(0+0)+0+0+0)+(0+0)+0)+((0+0+(0+0)+0+0+0)+(0+0)+0))</f>
        <v>33779453</v>
      </c>
      <c r="F16" s="3">
        <f>((601+55335+(0+0)+0+3832+73266)+(0+0)+0)</f>
        <v>133034</v>
      </c>
      <c r="G16" s="3">
        <f>((1083997+5994241+(73401+62262)+50551+1228289+1211180)+(304025+3367085)+1428763)</f>
        <v>14803794</v>
      </c>
      <c r="H16" s="3">
        <f>(((601+55335+(0+0)+0+3832+73266)+(0+0)+0)+((1083997+5994241+(73401+62262)+50551+1228289+1211180)+(304025+3367085)+1428763))</f>
        <v>14936828</v>
      </c>
      <c r="I16" s="3">
        <f>((((1090614+6161183+(7855520+6663437)+67331+1255413+1993793)+(364389+5019145)+3307599)+((0+1029+(0+0)+0+0+0)+(0+0)+0)+((0+0+(0+0)+0+0+0)+(0+0)+0))-(((601+55335+(0+0)+0+3832+73266)+(0+0)+0)+((1083997+5994241+(73401+62262)+50551+1228289+1211180)+(304025+3367085)+1428763)))</f>
        <v>18842625</v>
      </c>
    </row>
    <row r="17" spans="1:9" ht="14" x14ac:dyDescent="0.3">
      <c r="A17" s="2" t="s">
        <v>23</v>
      </c>
      <c r="B17" s="3">
        <f>((9085+242173+(144122+0)+15600+135012+2089675)+(0+1506044)+2104392)</f>
        <v>6246103</v>
      </c>
      <c r="C17" s="3">
        <f>((69+37958+(0+0)+0+34507+0)+(0+0)+0)</f>
        <v>72534</v>
      </c>
      <c r="D17" s="3">
        <f t="shared" si="0"/>
        <v>0</v>
      </c>
      <c r="E17" s="3">
        <f>(((9085+242173+(144122+0)+15600+135012+2089675)+(0+1506044)+2104392)+((69+37958+(0+0)+0+34507+0)+(0+0)+0)+((0+0+(0+0)+0+0+0)+(0+0)+0))</f>
        <v>6318637</v>
      </c>
      <c r="F17" s="3">
        <f>((0+0+(0+0)+0+0+2089674)+(0+0)+0)</f>
        <v>2089674</v>
      </c>
      <c r="G17" s="3">
        <f>((8046+193384+(125326+0)+610+146628+0)+(0+1166087)+117107)</f>
        <v>1757188</v>
      </c>
      <c r="H17" s="3">
        <f>(((0+0+(0+0)+0+0+2089674)+(0+0)+0)+((8046+193384+(125326+0)+610+146628+0)+(0+1166087)+117107))</f>
        <v>3846862</v>
      </c>
      <c r="I17" s="3">
        <f>((((9085+242173+(144122+0)+15600+135012+2089675)+(0+1506044)+2104392)+((69+37958+(0+0)+0+34507+0)+(0+0)+0)+((0+0+(0+0)+0+0+0)+(0+0)+0))-(((0+0+(0+0)+0+0+2089674)+(0+0)+0)+((8046+193384+(125326+0)+610+146628+0)+(0+1166087)+117107)))</f>
        <v>2471775</v>
      </c>
    </row>
    <row r="18" spans="1:9" ht="14" x14ac:dyDescent="0.3">
      <c r="A18" s="2" t="s">
        <v>24</v>
      </c>
      <c r="B18" s="3">
        <f>((29937+20712+(2933747+810701)+73659+463624+13839)+(0+328811)+1563027)</f>
        <v>6238057</v>
      </c>
      <c r="C18" s="3">
        <f>((0+6532+(0+0)+0+0+0)+(0+0)+0)</f>
        <v>6532</v>
      </c>
      <c r="D18" s="3">
        <f t="shared" si="0"/>
        <v>0</v>
      </c>
      <c r="E18" s="3">
        <f>(((29937+20712+(2933747+810701)+73659+463624+13839)+(0+328811)+1563027)+((0+6532+(0+0)+0+0+0)+(0+0)+0)+((0+0+(0+0)+0+0+0)+(0+0)+0))</f>
        <v>6244589</v>
      </c>
      <c r="F18" s="3">
        <f>((0+50+(0+0)+0+128+0)+(0+0)+0)</f>
        <v>178</v>
      </c>
      <c r="G18" s="3">
        <f>((27083+25761+(1002499+306922)+25624+440983+12335)+(0+250201)+763856)</f>
        <v>2855264</v>
      </c>
      <c r="H18" s="3">
        <f>(((0+50+(0+0)+0+128+0)+(0+0)+0)+((27083+25761+(1002499+306922)+25624+440983+12335)+(0+250201)+763856))</f>
        <v>2855442</v>
      </c>
      <c r="I18" s="3">
        <f>((((29937+20712+(2933747+810701)+73659+463624+13839)+(0+328811)+1563027)+((0+6532+(0+0)+0+0+0)+(0+0)+0)+((0+0+(0+0)+0+0+0)+(0+0)+0))-(((0+50+(0+0)+0+128+0)+(0+0)+0)+((27083+25761+(1002499+306922)+25624+440983+12335)+(0+250201)+763856)))</f>
        <v>3389147</v>
      </c>
    </row>
    <row r="19" spans="1:9" ht="14" x14ac:dyDescent="0.3">
      <c r="A19" s="2" t="s">
        <v>25</v>
      </c>
      <c r="B19" s="3">
        <f>(((-247659)+739864+(0+0)+2143+114408+53394)+(216723+771452)+21500598)</f>
        <v>23150923</v>
      </c>
      <c r="C19" s="3">
        <f>((0+0+(0+0)+0+0+0)+(0+0)+0)</f>
        <v>0</v>
      </c>
      <c r="D19" s="3">
        <f t="shared" si="0"/>
        <v>0</v>
      </c>
      <c r="E19" s="3">
        <f>((((-247659)+739864+(0+0)+2143+114408+53394)+(216723+771452)+21500598)+((0+0+(0+0)+0+0+0)+(0+0)+0)+((0+0+(0+0)+0+0+0)+(0+0)+0))</f>
        <v>23150923</v>
      </c>
      <c r="F19" s="3">
        <f>((0+85272+(0+0)+0+0+0)+(0+0)+0)</f>
        <v>85272</v>
      </c>
      <c r="G19" s="3">
        <f>(((-273378)+12316+(0+0)+0+25303+3455)+(27889+445716)+3724)</f>
        <v>245025</v>
      </c>
      <c r="H19" s="3">
        <f>(((0+85272+(0+0)+0+0+0)+(0+0)+0)+(((-273378)+12316+(0+0)+0+25303+3455)+(27889+445716)+3724))</f>
        <v>330297</v>
      </c>
      <c r="I19" s="3">
        <f>(((((-247659)+739864+(0+0)+2143+114408+53394)+(216723+771452)+21500598)+((0+0+(0+0)+0+0+0)+(0+0)+0)+((0+0+(0+0)+0+0+0)+(0+0)+0))-(((0+85272+(0+0)+0+0+0)+(0+0)+0)+(((-273378)+12316+(0+0)+0+25303+3455)+(27889+445716)+3724)))</f>
        <v>22820626</v>
      </c>
    </row>
    <row r="20" spans="1:9" ht="14" x14ac:dyDescent="0.3">
      <c r="A20" s="2" t="s">
        <v>26</v>
      </c>
      <c r="B20" s="3">
        <f>((230700+333534+(4053252+1317539)+1929+141266+437160)+(1906879+2367649)+2734830)</f>
        <v>13524738</v>
      </c>
      <c r="C20" s="3">
        <f>((88231+140157+(0+0)+0+0+0)+(0+0)+0)</f>
        <v>228388</v>
      </c>
      <c r="D20" s="3">
        <f t="shared" si="0"/>
        <v>0</v>
      </c>
      <c r="E20" s="3">
        <f>(((230700+333534+(4053252+1317539)+1929+141266+437160)+(1906879+2367649)+2734830)+((88231+140157+(0+0)+0+0+0)+(0+0)+0)+((0+0+(0+0)+0+0+0)+(0+0)+0))</f>
        <v>13753126</v>
      </c>
      <c r="F20" s="3">
        <f>((0+0+(0+0)+0+0+0)+(0+0)+0)</f>
        <v>0</v>
      </c>
      <c r="G20" s="3">
        <f>((200+418806+(0+0)+0+215+0)+(1590368+898412)+166186)</f>
        <v>3074187</v>
      </c>
      <c r="H20" s="3">
        <f>(((0+0+(0+0)+0+0+0)+(0+0)+0)+((200+418806+(0+0)+0+215+0)+(1590368+898412)+166186))</f>
        <v>3074187</v>
      </c>
      <c r="I20" s="3">
        <f>((((230700+333534+(4053252+1317539)+1929+141266+437160)+(1906879+2367649)+2734830)+((88231+140157+(0+0)+0+0+0)+(0+0)+0)+((0+0+(0+0)+0+0+0)+(0+0)+0))-(((0+0+(0+0)+0+0+0)+(0+0)+0)+((200+418806+(0+0)+0+215+0)+(1590368+898412)+166186)))</f>
        <v>10678939</v>
      </c>
    </row>
    <row r="21" spans="1:9" ht="14" x14ac:dyDescent="0.3">
      <c r="A21" s="5" t="s">
        <v>27</v>
      </c>
      <c r="B21" s="5"/>
      <c r="C21" s="5"/>
      <c r="D21" s="5"/>
      <c r="E21" s="5"/>
      <c r="F21" s="5"/>
      <c r="G21" s="5"/>
      <c r="H21" s="5"/>
      <c r="I21" s="5"/>
    </row>
    <row r="22" spans="1:9" ht="14" x14ac:dyDescent="0.3">
      <c r="A22" s="4" t="s">
        <v>1</v>
      </c>
      <c r="B22" s="1" t="s">
        <v>2</v>
      </c>
      <c r="C22" s="1" t="s">
        <v>3</v>
      </c>
      <c r="D22" s="1" t="s">
        <v>4</v>
      </c>
      <c r="E22" s="1" t="s">
        <v>5</v>
      </c>
      <c r="F22" s="1" t="s">
        <v>6</v>
      </c>
      <c r="G22" s="1" t="s">
        <v>7</v>
      </c>
      <c r="H22" s="1" t="s">
        <v>8</v>
      </c>
      <c r="I22" s="1" t="s">
        <v>9</v>
      </c>
    </row>
    <row r="23" spans="1:9" ht="14" x14ac:dyDescent="0.3">
      <c r="A23" s="4"/>
      <c r="B23" s="1">
        <v>2023</v>
      </c>
      <c r="C23" s="1">
        <v>2023</v>
      </c>
      <c r="D23" s="1">
        <v>2023</v>
      </c>
      <c r="E23" s="1">
        <v>2023</v>
      </c>
      <c r="F23" s="1">
        <v>2023</v>
      </c>
      <c r="G23" s="1">
        <v>2023</v>
      </c>
      <c r="H23" s="1">
        <v>2023</v>
      </c>
      <c r="I23" s="1">
        <v>2023</v>
      </c>
    </row>
    <row r="24" spans="1:9" ht="14" x14ac:dyDescent="0.3">
      <c r="A24" s="2" t="s">
        <v>10</v>
      </c>
      <c r="B24" s="3">
        <f>(96368+1785565)</f>
        <v>1881933</v>
      </c>
      <c r="C24" s="3">
        <f t="shared" ref="C24:D32" si="1">(0+0)</f>
        <v>0</v>
      </c>
      <c r="D24" s="3">
        <f t="shared" si="1"/>
        <v>0</v>
      </c>
      <c r="E24" s="3">
        <f>((96368+1785565)+(0+0)+(0+0))</f>
        <v>1881933</v>
      </c>
      <c r="F24" s="3">
        <f t="shared" ref="F24:F29" si="2">(0+0)</f>
        <v>0</v>
      </c>
      <c r="G24" s="3">
        <f>(70748+1519203)</f>
        <v>1589951</v>
      </c>
      <c r="H24" s="3">
        <f>((0+0)+(70748+1519203))</f>
        <v>1589951</v>
      </c>
      <c r="I24" s="3">
        <f>(((96368+1785565)+(0+0)+(0+0))-((0+0)+(70748+1519203)))</f>
        <v>291982</v>
      </c>
    </row>
    <row r="25" spans="1:9" ht="14" x14ac:dyDescent="0.3">
      <c r="A25" s="2" t="s">
        <v>11</v>
      </c>
      <c r="B25" s="3">
        <f>(56526+103676)</f>
        <v>160202</v>
      </c>
      <c r="C25" s="3">
        <f t="shared" si="1"/>
        <v>0</v>
      </c>
      <c r="D25" s="3">
        <f t="shared" si="1"/>
        <v>0</v>
      </c>
      <c r="E25" s="3">
        <f>((56526+103676)+(0+0)+(0+0))</f>
        <v>160202</v>
      </c>
      <c r="F25" s="3">
        <f t="shared" si="2"/>
        <v>0</v>
      </c>
      <c r="G25" s="3">
        <f>((-2348)+42756)</f>
        <v>40408</v>
      </c>
      <c r="H25" s="3">
        <f>((0+0)+((-2348)+42756))</f>
        <v>40408</v>
      </c>
      <c r="I25" s="3">
        <f>(((56526+103676)+(0+0)+(0+0))-((0+0)+((-2348)+42756)))</f>
        <v>119794</v>
      </c>
    </row>
    <row r="26" spans="1:9" ht="14" x14ac:dyDescent="0.3">
      <c r="A26" s="2" t="s">
        <v>12</v>
      </c>
      <c r="B26" s="3">
        <f>(5694+1685520)</f>
        <v>1691214</v>
      </c>
      <c r="C26" s="3">
        <f t="shared" si="1"/>
        <v>0</v>
      </c>
      <c r="D26" s="3">
        <f t="shared" si="1"/>
        <v>0</v>
      </c>
      <c r="E26" s="3">
        <f>((5694+1685520)+(0+0)+(0+0))</f>
        <v>1691214</v>
      </c>
      <c r="F26" s="3">
        <f t="shared" si="2"/>
        <v>0</v>
      </c>
      <c r="G26" s="3">
        <f>(4271+1321379)</f>
        <v>1325650</v>
      </c>
      <c r="H26" s="3">
        <f>((0+0)+(4271+1321379))</f>
        <v>1325650</v>
      </c>
      <c r="I26" s="3">
        <f>(((5694+1685520)+(0+0)+(0+0))-((0+0)+(4271+1321379)))</f>
        <v>365564</v>
      </c>
    </row>
    <row r="27" spans="1:9" ht="14" x14ac:dyDescent="0.3">
      <c r="A27" s="2" t="s">
        <v>13</v>
      </c>
      <c r="B27" s="3">
        <f>(0+0)</f>
        <v>0</v>
      </c>
      <c r="C27" s="3">
        <f t="shared" si="1"/>
        <v>0</v>
      </c>
      <c r="D27" s="3">
        <f t="shared" si="1"/>
        <v>0</v>
      </c>
      <c r="E27" s="3">
        <f>((0+0)+(0+0)+(0+0))</f>
        <v>0</v>
      </c>
      <c r="F27" s="3">
        <f t="shared" si="2"/>
        <v>0</v>
      </c>
      <c r="G27" s="3">
        <f>(0+0)</f>
        <v>0</v>
      </c>
      <c r="H27" s="3">
        <f>((0+0)+(0+0))</f>
        <v>0</v>
      </c>
      <c r="I27" s="3">
        <f>(((0+0)+(0+0)+(0+0))-((0+0)+(0+0)))</f>
        <v>0</v>
      </c>
    </row>
    <row r="28" spans="1:9" ht="14" x14ac:dyDescent="0.3">
      <c r="A28" s="2" t="s">
        <v>14</v>
      </c>
      <c r="B28" s="3">
        <f>(516565+2376990)</f>
        <v>2893555</v>
      </c>
      <c r="C28" s="3">
        <f t="shared" si="1"/>
        <v>0</v>
      </c>
      <c r="D28" s="3">
        <f t="shared" si="1"/>
        <v>0</v>
      </c>
      <c r="E28" s="3">
        <f>((516565+2376990)+(0+0)+(0+0))</f>
        <v>2893555</v>
      </c>
      <c r="F28" s="3">
        <f t="shared" si="2"/>
        <v>0</v>
      </c>
      <c r="G28" s="3">
        <f>(49180+1322405)</f>
        <v>1371585</v>
      </c>
      <c r="H28" s="3">
        <f>((0+0)+(49180+1322405))</f>
        <v>1371585</v>
      </c>
      <c r="I28" s="3">
        <f>(((516565+2376990)+(0+0)+(0+0))-((0+0)+(49180+1322405)))</f>
        <v>1521970</v>
      </c>
    </row>
    <row r="29" spans="1:9" ht="14" x14ac:dyDescent="0.3">
      <c r="A29" s="2" t="s">
        <v>15</v>
      </c>
      <c r="B29" s="3">
        <f>(0+2741432)</f>
        <v>2741432</v>
      </c>
      <c r="C29" s="3">
        <f t="shared" si="1"/>
        <v>0</v>
      </c>
      <c r="D29" s="3">
        <f t="shared" si="1"/>
        <v>0</v>
      </c>
      <c r="E29" s="3">
        <f>((0+2741432)+(0+0)+(0+0))</f>
        <v>2741432</v>
      </c>
      <c r="F29" s="3">
        <f t="shared" si="2"/>
        <v>0</v>
      </c>
      <c r="G29" s="3">
        <f>(0+2627563)</f>
        <v>2627563</v>
      </c>
      <c r="H29" s="3">
        <f>((0+0)+(0+2627563))</f>
        <v>2627563</v>
      </c>
      <c r="I29" s="3">
        <f>(((0+2741432)+(0+0)+(0+0))-((0+0)+(0+2627563)))</f>
        <v>113869</v>
      </c>
    </row>
    <row r="30" spans="1:9" ht="14" x14ac:dyDescent="0.3">
      <c r="A30" s="2" t="s">
        <v>16</v>
      </c>
      <c r="B30" s="3">
        <f>(116574+3935785)</f>
        <v>4052359</v>
      </c>
      <c r="C30" s="3">
        <f t="shared" si="1"/>
        <v>0</v>
      </c>
      <c r="D30" s="3">
        <f t="shared" si="1"/>
        <v>0</v>
      </c>
      <c r="E30" s="3">
        <f>((116574+3935785)+(0+0)+(0+0))</f>
        <v>4052359</v>
      </c>
      <c r="F30" s="3">
        <f>(535+143571)</f>
        <v>144106</v>
      </c>
      <c r="G30" s="3">
        <f>(11269+3025470)</f>
        <v>3036739</v>
      </c>
      <c r="H30" s="3">
        <f>((535+143571)+(11269+3025470))</f>
        <v>3180845</v>
      </c>
      <c r="I30" s="3">
        <f>(((116574+3935785)+(0+0)+(0+0))-((535+143571)+(11269+3025470)))</f>
        <v>871514</v>
      </c>
    </row>
    <row r="31" spans="1:9" ht="14" x14ac:dyDescent="0.3">
      <c r="A31" s="2" t="s">
        <v>17</v>
      </c>
      <c r="B31" s="3">
        <f>(0+0)</f>
        <v>0</v>
      </c>
      <c r="C31" s="3">
        <f t="shared" si="1"/>
        <v>0</v>
      </c>
      <c r="D31" s="3">
        <f t="shared" si="1"/>
        <v>0</v>
      </c>
      <c r="E31" s="3">
        <f>((0+0)+(0+0)+(0+0))</f>
        <v>0</v>
      </c>
      <c r="F31" s="3">
        <f>(0+0)</f>
        <v>0</v>
      </c>
      <c r="G31" s="3">
        <f>(0+0)</f>
        <v>0</v>
      </c>
      <c r="H31" s="3">
        <f>((0+0)+(0+0))</f>
        <v>0</v>
      </c>
      <c r="I31" s="3">
        <f>(((0+0)+(0+0)+(0+0))-((0+0)+(0+0)))</f>
        <v>0</v>
      </c>
    </row>
    <row r="32" spans="1:9" ht="14" x14ac:dyDescent="0.3">
      <c r="A32" s="2" t="s">
        <v>18</v>
      </c>
      <c r="B32" s="3">
        <f>(0+0)</f>
        <v>0</v>
      </c>
      <c r="C32" s="3">
        <f t="shared" si="1"/>
        <v>0</v>
      </c>
      <c r="D32" s="3">
        <f t="shared" si="1"/>
        <v>0</v>
      </c>
      <c r="E32" s="3">
        <f>((0+0)+(0+0)+(0+0))</f>
        <v>0</v>
      </c>
      <c r="F32" s="3">
        <f>(0+0)</f>
        <v>0</v>
      </c>
      <c r="G32" s="3">
        <f>(0+0)</f>
        <v>0</v>
      </c>
      <c r="H32" s="3">
        <f>((0+0)+(0+0))</f>
        <v>0</v>
      </c>
      <c r="I32" s="3">
        <f>(((0+0)+(0+0)+(0+0))-((0+0)+(0+0)))</f>
        <v>0</v>
      </c>
    </row>
    <row r="33" spans="1:9" ht="14" x14ac:dyDescent="0.3">
      <c r="A33" s="2" t="s">
        <v>19</v>
      </c>
      <c r="B33" s="3">
        <f>(362948+435294)</f>
        <v>798242</v>
      </c>
      <c r="C33" s="3">
        <f>(0+112543)</f>
        <v>112543</v>
      </c>
      <c r="D33" s="3">
        <f t="shared" ref="D33:D40" si="3">(0+0)</f>
        <v>0</v>
      </c>
      <c r="E33" s="3">
        <f>((362948+435294)+(0+112543)+(0+0))</f>
        <v>910785</v>
      </c>
      <c r="F33" s="3">
        <f t="shared" ref="F33:F40" si="4">(0+0)</f>
        <v>0</v>
      </c>
      <c r="G33" s="3">
        <f>(124814+380130)</f>
        <v>504944</v>
      </c>
      <c r="H33" s="3">
        <f>((0+0)+(124814+380130))</f>
        <v>504944</v>
      </c>
      <c r="I33" s="3">
        <f>(((362948+435294)+(0+112543)+(0+0))-((0+0)+(124814+380130)))</f>
        <v>405841</v>
      </c>
    </row>
    <row r="34" spans="1:9" ht="14" x14ac:dyDescent="0.3">
      <c r="A34" s="2" t="s">
        <v>20</v>
      </c>
      <c r="B34" s="3">
        <f>(678259+114046)</f>
        <v>792305</v>
      </c>
      <c r="C34" s="3">
        <f t="shared" ref="C34:C40" si="5">(0+0)</f>
        <v>0</v>
      </c>
      <c r="D34" s="3">
        <f t="shared" si="3"/>
        <v>0</v>
      </c>
      <c r="E34" s="3">
        <f>((678259+114046)+(0+0)+(0+0))</f>
        <v>792305</v>
      </c>
      <c r="F34" s="3">
        <f t="shared" si="4"/>
        <v>0</v>
      </c>
      <c r="G34" s="3">
        <f>(624316+102527)</f>
        <v>726843</v>
      </c>
      <c r="H34" s="3">
        <f>((0+0)+(624316+102527))</f>
        <v>726843</v>
      </c>
      <c r="I34" s="3">
        <f>(((678259+114046)+(0+0)+(0+0))-((0+0)+(624316+102527)))</f>
        <v>65462</v>
      </c>
    </row>
    <row r="35" spans="1:9" ht="14" x14ac:dyDescent="0.3">
      <c r="A35" s="2" t="s">
        <v>21</v>
      </c>
      <c r="B35" s="3">
        <f>(0+0)</f>
        <v>0</v>
      </c>
      <c r="C35" s="3">
        <f t="shared" si="5"/>
        <v>0</v>
      </c>
      <c r="D35" s="3">
        <f t="shared" si="3"/>
        <v>0</v>
      </c>
      <c r="E35" s="3">
        <f>((0+0)+(0+0)+(0+0))</f>
        <v>0</v>
      </c>
      <c r="F35" s="3">
        <f t="shared" si="4"/>
        <v>0</v>
      </c>
      <c r="G35" s="3">
        <f>(0+0)</f>
        <v>0</v>
      </c>
      <c r="H35" s="3">
        <f>((0+0)+(0+0))</f>
        <v>0</v>
      </c>
      <c r="I35" s="3">
        <f>(((0+0)+(0+0)+(0+0))-((0+0)+(0+0)))</f>
        <v>0</v>
      </c>
    </row>
    <row r="36" spans="1:9" ht="14" x14ac:dyDescent="0.3">
      <c r="A36" s="2" t="s">
        <v>22</v>
      </c>
      <c r="B36" s="3">
        <f>(364389+5019145)</f>
        <v>5383534</v>
      </c>
      <c r="C36" s="3">
        <f t="shared" si="5"/>
        <v>0</v>
      </c>
      <c r="D36" s="3">
        <f t="shared" si="3"/>
        <v>0</v>
      </c>
      <c r="E36" s="3">
        <f>((364389+5019145)+(0+0)+(0+0))</f>
        <v>5383534</v>
      </c>
      <c r="F36" s="3">
        <f t="shared" si="4"/>
        <v>0</v>
      </c>
      <c r="G36" s="3">
        <f>(304025+3367085)</f>
        <v>3671110</v>
      </c>
      <c r="H36" s="3">
        <f>((0+0)+(304025+3367085))</f>
        <v>3671110</v>
      </c>
      <c r="I36" s="3">
        <f>(((364389+5019145)+(0+0)+(0+0))-((0+0)+(304025+3367085)))</f>
        <v>1712424</v>
      </c>
    </row>
    <row r="37" spans="1:9" ht="14" x14ac:dyDescent="0.3">
      <c r="A37" s="2" t="s">
        <v>23</v>
      </c>
      <c r="B37" s="3">
        <f>(0+1506044)</f>
        <v>1506044</v>
      </c>
      <c r="C37" s="3">
        <f t="shared" si="5"/>
        <v>0</v>
      </c>
      <c r="D37" s="3">
        <f t="shared" si="3"/>
        <v>0</v>
      </c>
      <c r="E37" s="3">
        <f>((0+1506044)+(0+0)+(0+0))</f>
        <v>1506044</v>
      </c>
      <c r="F37" s="3">
        <f t="shared" si="4"/>
        <v>0</v>
      </c>
      <c r="G37" s="3">
        <f>(0+1166087)</f>
        <v>1166087</v>
      </c>
      <c r="H37" s="3">
        <f>((0+0)+(0+1166087))</f>
        <v>1166087</v>
      </c>
      <c r="I37" s="3">
        <f>(((0+1506044)+(0+0)+(0+0))-((0+0)+(0+1166087)))</f>
        <v>339957</v>
      </c>
    </row>
    <row r="38" spans="1:9" ht="14" x14ac:dyDescent="0.3">
      <c r="A38" s="2" t="s">
        <v>24</v>
      </c>
      <c r="B38" s="3">
        <f>(0+328811)</f>
        <v>328811</v>
      </c>
      <c r="C38" s="3">
        <f t="shared" si="5"/>
        <v>0</v>
      </c>
      <c r="D38" s="3">
        <f t="shared" si="3"/>
        <v>0</v>
      </c>
      <c r="E38" s="3">
        <f>((0+328811)+(0+0)+(0+0))</f>
        <v>328811</v>
      </c>
      <c r="F38" s="3">
        <f t="shared" si="4"/>
        <v>0</v>
      </c>
      <c r="G38" s="3">
        <f>(0+250201)</f>
        <v>250201</v>
      </c>
      <c r="H38" s="3">
        <f>((0+0)+(0+250201))</f>
        <v>250201</v>
      </c>
      <c r="I38" s="3">
        <f>(((0+328811)+(0+0)+(0+0))-((0+0)+(0+250201)))</f>
        <v>78610</v>
      </c>
    </row>
    <row r="39" spans="1:9" ht="14" x14ac:dyDescent="0.3">
      <c r="A39" s="2" t="s">
        <v>25</v>
      </c>
      <c r="B39" s="3">
        <f>(216723+771452)</f>
        <v>988175</v>
      </c>
      <c r="C39" s="3">
        <f t="shared" si="5"/>
        <v>0</v>
      </c>
      <c r="D39" s="3">
        <f t="shared" si="3"/>
        <v>0</v>
      </c>
      <c r="E39" s="3">
        <f>((216723+771452)+(0+0)+(0+0))</f>
        <v>988175</v>
      </c>
      <c r="F39" s="3">
        <f t="shared" si="4"/>
        <v>0</v>
      </c>
      <c r="G39" s="3">
        <f>(27889+445716)</f>
        <v>473605</v>
      </c>
      <c r="H39" s="3">
        <f>((0+0)+(27889+445716))</f>
        <v>473605</v>
      </c>
      <c r="I39" s="3">
        <f>(((216723+771452)+(0+0)+(0+0))-((0+0)+(27889+445716)))</f>
        <v>514570</v>
      </c>
    </row>
    <row r="40" spans="1:9" ht="14" x14ac:dyDescent="0.3">
      <c r="A40" s="2" t="s">
        <v>26</v>
      </c>
      <c r="B40" s="3">
        <f>(1906879+2367649)</f>
        <v>4274528</v>
      </c>
      <c r="C40" s="3">
        <f t="shared" si="5"/>
        <v>0</v>
      </c>
      <c r="D40" s="3">
        <f t="shared" si="3"/>
        <v>0</v>
      </c>
      <c r="E40" s="3">
        <f>((1906879+2367649)+(0+0)+(0+0))</f>
        <v>4274528</v>
      </c>
      <c r="F40" s="3">
        <f t="shared" si="4"/>
        <v>0</v>
      </c>
      <c r="G40" s="3">
        <f>(1590368+898412)</f>
        <v>2488780</v>
      </c>
      <c r="H40" s="3">
        <f>((0+0)+(1590368+898412))</f>
        <v>2488780</v>
      </c>
      <c r="I40" s="3">
        <f>(((1906879+2367649)+(0+0)+(0+0))-((0+0)+(1590368+898412)))</f>
        <v>1785748</v>
      </c>
    </row>
    <row r="41" spans="1:9" ht="14" x14ac:dyDescent="0.3">
      <c r="A41" s="5" t="s">
        <v>28</v>
      </c>
      <c r="B41" s="5"/>
      <c r="C41" s="5"/>
      <c r="D41" s="5"/>
      <c r="E41" s="5"/>
      <c r="F41" s="5"/>
      <c r="G41" s="5"/>
      <c r="H41" s="5"/>
      <c r="I41" s="5"/>
    </row>
    <row r="42" spans="1:9" ht="14" x14ac:dyDescent="0.3">
      <c r="A42" s="4" t="s">
        <v>1</v>
      </c>
      <c r="B42" s="1" t="s">
        <v>2</v>
      </c>
      <c r="C42" s="1" t="s">
        <v>3</v>
      </c>
      <c r="D42" s="1" t="s">
        <v>4</v>
      </c>
      <c r="E42" s="1" t="s">
        <v>5</v>
      </c>
      <c r="F42" s="1" t="s">
        <v>6</v>
      </c>
      <c r="G42" s="1" t="s">
        <v>7</v>
      </c>
      <c r="H42" s="1" t="s">
        <v>8</v>
      </c>
      <c r="I42" s="1" t="s">
        <v>9</v>
      </c>
    </row>
    <row r="43" spans="1:9" ht="14" x14ac:dyDescent="0.3">
      <c r="A43" s="4"/>
      <c r="B43" s="1">
        <v>2023</v>
      </c>
      <c r="C43" s="1">
        <v>2023</v>
      </c>
      <c r="D43" s="1">
        <v>2023</v>
      </c>
      <c r="E43" s="1">
        <v>2023</v>
      </c>
      <c r="F43" s="1">
        <v>2023</v>
      </c>
      <c r="G43" s="1">
        <v>2023</v>
      </c>
      <c r="H43" s="1">
        <v>2023</v>
      </c>
      <c r="I43" s="1">
        <v>2023</v>
      </c>
    </row>
    <row r="44" spans="1:9" ht="14" x14ac:dyDescent="0.3">
      <c r="A44" s="2" t="s">
        <v>10</v>
      </c>
      <c r="B44" s="3">
        <f>96368</f>
        <v>96368</v>
      </c>
      <c r="C44" s="3">
        <f>0</f>
        <v>0</v>
      </c>
      <c r="D44" s="3">
        <f>0</f>
        <v>0</v>
      </c>
      <c r="E44" s="3">
        <f>(96368+0+0)</f>
        <v>96368</v>
      </c>
      <c r="F44" s="3">
        <f>0</f>
        <v>0</v>
      </c>
      <c r="G44" s="3">
        <f>70748</f>
        <v>70748</v>
      </c>
      <c r="H44" s="3">
        <f>(0+70748)</f>
        <v>70748</v>
      </c>
      <c r="I44" s="3">
        <f>((96368+0+0)-(0+70748))</f>
        <v>25620</v>
      </c>
    </row>
    <row r="45" spans="1:9" ht="14" x14ac:dyDescent="0.3">
      <c r="A45" s="2" t="s">
        <v>11</v>
      </c>
      <c r="B45" s="3">
        <f>56526</f>
        <v>56526</v>
      </c>
      <c r="C45" s="3">
        <f>0</f>
        <v>0</v>
      </c>
      <c r="D45" s="3">
        <f>0</f>
        <v>0</v>
      </c>
      <c r="E45" s="3">
        <f>(56526+0+0)</f>
        <v>56526</v>
      </c>
      <c r="F45" s="3">
        <f>0</f>
        <v>0</v>
      </c>
      <c r="G45" s="3">
        <f>(-2348)</f>
        <v>-2348</v>
      </c>
      <c r="H45" s="3">
        <f>(0+(-2348))</f>
        <v>-2348</v>
      </c>
      <c r="I45" s="3">
        <f>((56526+0+0)-(0+(-2348)))</f>
        <v>58874</v>
      </c>
    </row>
    <row r="46" spans="1:9" ht="14" x14ac:dyDescent="0.3">
      <c r="A46" s="2" t="s">
        <v>12</v>
      </c>
      <c r="B46" s="3">
        <f>5694</f>
        <v>5694</v>
      </c>
      <c r="C46" s="3">
        <f>0</f>
        <v>0</v>
      </c>
      <c r="D46" s="3">
        <f>0</f>
        <v>0</v>
      </c>
      <c r="E46" s="3">
        <f>(5694+0+0)</f>
        <v>5694</v>
      </c>
      <c r="F46" s="3">
        <f>0</f>
        <v>0</v>
      </c>
      <c r="G46" s="3">
        <f>4271</f>
        <v>4271</v>
      </c>
      <c r="H46" s="3">
        <f>(0+4271)</f>
        <v>4271</v>
      </c>
      <c r="I46" s="3">
        <f>((5694+0+0)-(0+4271))</f>
        <v>1423</v>
      </c>
    </row>
    <row r="47" spans="1:9" ht="14" x14ac:dyDescent="0.3">
      <c r="A47" s="2" t="s">
        <v>13</v>
      </c>
      <c r="B47" s="3">
        <f>0</f>
        <v>0</v>
      </c>
      <c r="C47" s="3">
        <f>0</f>
        <v>0</v>
      </c>
      <c r="D47" s="3">
        <f>0</f>
        <v>0</v>
      </c>
      <c r="E47" s="3">
        <f>(0+0+0)</f>
        <v>0</v>
      </c>
      <c r="F47" s="3">
        <f>0</f>
        <v>0</v>
      </c>
      <c r="G47" s="3">
        <f>0</f>
        <v>0</v>
      </c>
      <c r="H47" s="3">
        <f>(0+0)</f>
        <v>0</v>
      </c>
      <c r="I47" s="3">
        <f>((0+0+0)-(0+0))</f>
        <v>0</v>
      </c>
    </row>
    <row r="48" spans="1:9" ht="14" x14ac:dyDescent="0.3">
      <c r="A48" s="2" t="s">
        <v>14</v>
      </c>
      <c r="B48" s="3">
        <f>516565</f>
        <v>516565</v>
      </c>
      <c r="C48" s="3">
        <f>0</f>
        <v>0</v>
      </c>
      <c r="D48" s="3">
        <f>0</f>
        <v>0</v>
      </c>
      <c r="E48" s="3">
        <f>(516565+0+0)</f>
        <v>516565</v>
      </c>
      <c r="F48" s="3">
        <f>0</f>
        <v>0</v>
      </c>
      <c r="G48" s="3">
        <f>49180</f>
        <v>49180</v>
      </c>
      <c r="H48" s="3">
        <f>(0+49180)</f>
        <v>49180</v>
      </c>
      <c r="I48" s="3">
        <f>((516565+0+0)-(0+49180))</f>
        <v>467385</v>
      </c>
    </row>
    <row r="49" spans="1:9" ht="14" x14ac:dyDescent="0.3">
      <c r="A49" s="2" t="s">
        <v>15</v>
      </c>
      <c r="B49" s="3">
        <f>0</f>
        <v>0</v>
      </c>
      <c r="C49" s="3">
        <f>0</f>
        <v>0</v>
      </c>
      <c r="D49" s="3">
        <f>0</f>
        <v>0</v>
      </c>
      <c r="E49" s="3">
        <f>(0+0+0)</f>
        <v>0</v>
      </c>
      <c r="F49" s="3">
        <f>0</f>
        <v>0</v>
      </c>
      <c r="G49" s="3">
        <f>0</f>
        <v>0</v>
      </c>
      <c r="H49" s="3">
        <f>(0+0)</f>
        <v>0</v>
      </c>
      <c r="I49" s="3">
        <f>((0+0+0)-(0+0))</f>
        <v>0</v>
      </c>
    </row>
    <row r="50" spans="1:9" ht="14" x14ac:dyDescent="0.3">
      <c r="A50" s="2" t="s">
        <v>16</v>
      </c>
      <c r="B50" s="3">
        <f>116574</f>
        <v>116574</v>
      </c>
      <c r="C50" s="3">
        <f>0</f>
        <v>0</v>
      </c>
      <c r="D50" s="3">
        <f>0</f>
        <v>0</v>
      </c>
      <c r="E50" s="3">
        <f>(116574+0+0)</f>
        <v>116574</v>
      </c>
      <c r="F50" s="3">
        <f>535</f>
        <v>535</v>
      </c>
      <c r="G50" s="3">
        <f>11269</f>
        <v>11269</v>
      </c>
      <c r="H50" s="3">
        <f>(535+11269)</f>
        <v>11804</v>
      </c>
      <c r="I50" s="3">
        <f>((116574+0+0)-(535+11269))</f>
        <v>104770</v>
      </c>
    </row>
    <row r="51" spans="1:9" ht="14" x14ac:dyDescent="0.3">
      <c r="A51" s="2" t="s">
        <v>17</v>
      </c>
      <c r="B51" s="3">
        <f>0</f>
        <v>0</v>
      </c>
      <c r="C51" s="3">
        <f>0</f>
        <v>0</v>
      </c>
      <c r="D51" s="3">
        <f>0</f>
        <v>0</v>
      </c>
      <c r="E51" s="3">
        <f>(0+0+0)</f>
        <v>0</v>
      </c>
      <c r="F51" s="3">
        <f>0</f>
        <v>0</v>
      </c>
      <c r="G51" s="3">
        <f>0</f>
        <v>0</v>
      </c>
      <c r="H51" s="3">
        <f>(0+0)</f>
        <v>0</v>
      </c>
      <c r="I51" s="3">
        <f>((0+0+0)-(0+0))</f>
        <v>0</v>
      </c>
    </row>
    <row r="52" spans="1:9" ht="14" x14ac:dyDescent="0.3">
      <c r="A52" s="2" t="s">
        <v>18</v>
      </c>
      <c r="B52" s="3">
        <f>0</f>
        <v>0</v>
      </c>
      <c r="C52" s="3">
        <f>0</f>
        <v>0</v>
      </c>
      <c r="D52" s="3">
        <f>0</f>
        <v>0</v>
      </c>
      <c r="E52" s="3">
        <f>(0+0+0)</f>
        <v>0</v>
      </c>
      <c r="F52" s="3">
        <f>0</f>
        <v>0</v>
      </c>
      <c r="G52" s="3">
        <f>0</f>
        <v>0</v>
      </c>
      <c r="H52" s="3">
        <f>(0+0)</f>
        <v>0</v>
      </c>
      <c r="I52" s="3">
        <f>((0+0+0)-(0+0))</f>
        <v>0</v>
      </c>
    </row>
    <row r="53" spans="1:9" ht="14" x14ac:dyDescent="0.3">
      <c r="A53" s="2" t="s">
        <v>19</v>
      </c>
      <c r="B53" s="3">
        <f>362948</f>
        <v>362948</v>
      </c>
      <c r="C53" s="3">
        <f>0</f>
        <v>0</v>
      </c>
      <c r="D53" s="3">
        <f>0</f>
        <v>0</v>
      </c>
      <c r="E53" s="3">
        <f>(362948+0+0)</f>
        <v>362948</v>
      </c>
      <c r="F53" s="3">
        <f>0</f>
        <v>0</v>
      </c>
      <c r="G53" s="3">
        <f>124814</f>
        <v>124814</v>
      </c>
      <c r="H53" s="3">
        <f>(0+124814)</f>
        <v>124814</v>
      </c>
      <c r="I53" s="3">
        <f>((362948+0+0)-(0+124814))</f>
        <v>238134</v>
      </c>
    </row>
    <row r="54" spans="1:9" ht="14" x14ac:dyDescent="0.3">
      <c r="A54" s="2" t="s">
        <v>20</v>
      </c>
      <c r="B54" s="3">
        <f>678259</f>
        <v>678259</v>
      </c>
      <c r="C54" s="3">
        <f>0</f>
        <v>0</v>
      </c>
      <c r="D54" s="3">
        <f>0</f>
        <v>0</v>
      </c>
      <c r="E54" s="3">
        <f>(678259+0+0)</f>
        <v>678259</v>
      </c>
      <c r="F54" s="3">
        <f>0</f>
        <v>0</v>
      </c>
      <c r="G54" s="3">
        <f>624316</f>
        <v>624316</v>
      </c>
      <c r="H54" s="3">
        <f>(0+624316)</f>
        <v>624316</v>
      </c>
      <c r="I54" s="3">
        <f>((678259+0+0)-(0+624316))</f>
        <v>53943</v>
      </c>
    </row>
    <row r="55" spans="1:9" ht="14" x14ac:dyDescent="0.3">
      <c r="A55" s="2" t="s">
        <v>21</v>
      </c>
      <c r="B55" s="3">
        <f>0</f>
        <v>0</v>
      </c>
      <c r="C55" s="3">
        <f>0</f>
        <v>0</v>
      </c>
      <c r="D55" s="3">
        <f>0</f>
        <v>0</v>
      </c>
      <c r="E55" s="3">
        <f>(0+0+0)</f>
        <v>0</v>
      </c>
      <c r="F55" s="3">
        <f>0</f>
        <v>0</v>
      </c>
      <c r="G55" s="3">
        <f>0</f>
        <v>0</v>
      </c>
      <c r="H55" s="3">
        <f>(0+0)</f>
        <v>0</v>
      </c>
      <c r="I55" s="3">
        <f>((0+0+0)-(0+0))</f>
        <v>0</v>
      </c>
    </row>
    <row r="56" spans="1:9" ht="14" x14ac:dyDescent="0.3">
      <c r="A56" s="2" t="s">
        <v>22</v>
      </c>
      <c r="B56" s="3">
        <f>364389</f>
        <v>364389</v>
      </c>
      <c r="C56" s="3">
        <f>0</f>
        <v>0</v>
      </c>
      <c r="D56" s="3">
        <f>0</f>
        <v>0</v>
      </c>
      <c r="E56" s="3">
        <f>(364389+0+0)</f>
        <v>364389</v>
      </c>
      <c r="F56" s="3">
        <f>0</f>
        <v>0</v>
      </c>
      <c r="G56" s="3">
        <f>304025</f>
        <v>304025</v>
      </c>
      <c r="H56" s="3">
        <f>(0+304025)</f>
        <v>304025</v>
      </c>
      <c r="I56" s="3">
        <f>((364389+0+0)-(0+304025))</f>
        <v>60364</v>
      </c>
    </row>
    <row r="57" spans="1:9" ht="14" x14ac:dyDescent="0.3">
      <c r="A57" s="2" t="s">
        <v>23</v>
      </c>
      <c r="B57" s="3">
        <f>0</f>
        <v>0</v>
      </c>
      <c r="C57" s="3">
        <f>0</f>
        <v>0</v>
      </c>
      <c r="D57" s="3">
        <f>0</f>
        <v>0</v>
      </c>
      <c r="E57" s="3">
        <f>(0+0+0)</f>
        <v>0</v>
      </c>
      <c r="F57" s="3">
        <f>0</f>
        <v>0</v>
      </c>
      <c r="G57" s="3">
        <f>0</f>
        <v>0</v>
      </c>
      <c r="H57" s="3">
        <f>(0+0)</f>
        <v>0</v>
      </c>
      <c r="I57" s="3">
        <f>((0+0+0)-(0+0))</f>
        <v>0</v>
      </c>
    </row>
    <row r="58" spans="1:9" ht="14" x14ac:dyDescent="0.3">
      <c r="A58" s="2" t="s">
        <v>24</v>
      </c>
      <c r="B58" s="3">
        <f>0</f>
        <v>0</v>
      </c>
      <c r="C58" s="3">
        <f>0</f>
        <v>0</v>
      </c>
      <c r="D58" s="3">
        <f>0</f>
        <v>0</v>
      </c>
      <c r="E58" s="3">
        <f>(0+0+0)</f>
        <v>0</v>
      </c>
      <c r="F58" s="3">
        <f>0</f>
        <v>0</v>
      </c>
      <c r="G58" s="3">
        <f>0</f>
        <v>0</v>
      </c>
      <c r="H58" s="3">
        <f>(0+0)</f>
        <v>0</v>
      </c>
      <c r="I58" s="3">
        <f>((0+0+0)-(0+0))</f>
        <v>0</v>
      </c>
    </row>
    <row r="59" spans="1:9" ht="14" x14ac:dyDescent="0.3">
      <c r="A59" s="2" t="s">
        <v>25</v>
      </c>
      <c r="B59" s="3">
        <f>216723</f>
        <v>216723</v>
      </c>
      <c r="C59" s="3">
        <f>0</f>
        <v>0</v>
      </c>
      <c r="D59" s="3">
        <f>0</f>
        <v>0</v>
      </c>
      <c r="E59" s="3">
        <f>(216723+0+0)</f>
        <v>216723</v>
      </c>
      <c r="F59" s="3">
        <f>0</f>
        <v>0</v>
      </c>
      <c r="G59" s="3">
        <f>27889</f>
        <v>27889</v>
      </c>
      <c r="H59" s="3">
        <f>(0+27889)</f>
        <v>27889</v>
      </c>
      <c r="I59" s="3">
        <f>((216723+0+0)-(0+27889))</f>
        <v>188834</v>
      </c>
    </row>
    <row r="60" spans="1:9" ht="14" x14ac:dyDescent="0.3">
      <c r="A60" s="2" t="s">
        <v>26</v>
      </c>
      <c r="B60" s="3">
        <f>1906879</f>
        <v>1906879</v>
      </c>
      <c r="C60" s="3">
        <f>0</f>
        <v>0</v>
      </c>
      <c r="D60" s="3">
        <f>0</f>
        <v>0</v>
      </c>
      <c r="E60" s="3">
        <f>(1906879+0+0)</f>
        <v>1906879</v>
      </c>
      <c r="F60" s="3">
        <f>0</f>
        <v>0</v>
      </c>
      <c r="G60" s="3">
        <f>1590368</f>
        <v>1590368</v>
      </c>
      <c r="H60" s="3">
        <f>(0+1590368)</f>
        <v>1590368</v>
      </c>
      <c r="I60" s="3">
        <f>((1906879+0+0)-(0+1590368))</f>
        <v>316511</v>
      </c>
    </row>
    <row r="61" spans="1:9" ht="14" x14ac:dyDescent="0.3">
      <c r="A61" s="5" t="s">
        <v>29</v>
      </c>
      <c r="B61" s="5"/>
      <c r="C61" s="5"/>
      <c r="D61" s="5"/>
      <c r="E61" s="5"/>
      <c r="F61" s="5"/>
      <c r="G61" s="5"/>
      <c r="H61" s="5"/>
      <c r="I61" s="5"/>
    </row>
    <row r="62" spans="1:9" ht="14" x14ac:dyDescent="0.3">
      <c r="A62" s="4" t="s">
        <v>1</v>
      </c>
      <c r="B62" s="1" t="s">
        <v>2</v>
      </c>
      <c r="C62" s="1" t="s">
        <v>3</v>
      </c>
      <c r="D62" s="1" t="s">
        <v>4</v>
      </c>
      <c r="E62" s="1" t="s">
        <v>5</v>
      </c>
      <c r="F62" s="1" t="s">
        <v>6</v>
      </c>
      <c r="G62" s="1" t="s">
        <v>7</v>
      </c>
      <c r="H62" s="1" t="s">
        <v>8</v>
      </c>
      <c r="I62" s="1" t="s">
        <v>9</v>
      </c>
    </row>
    <row r="63" spans="1:9" ht="14" x14ac:dyDescent="0.3">
      <c r="A63" s="4"/>
      <c r="B63" s="1">
        <v>2023</v>
      </c>
      <c r="C63" s="1">
        <v>2023</v>
      </c>
      <c r="D63" s="1">
        <v>2023</v>
      </c>
      <c r="E63" s="1">
        <v>2023</v>
      </c>
      <c r="F63" s="1">
        <v>2023</v>
      </c>
      <c r="G63" s="1">
        <v>2023</v>
      </c>
      <c r="H63" s="1">
        <v>2023</v>
      </c>
      <c r="I63" s="1">
        <v>2023</v>
      </c>
    </row>
    <row r="64" spans="1:9" ht="14" x14ac:dyDescent="0.3">
      <c r="A64" s="2" t="s">
        <v>10</v>
      </c>
      <c r="B64" s="3">
        <f>1785565</f>
        <v>1785565</v>
      </c>
      <c r="C64" s="3">
        <f>0</f>
        <v>0</v>
      </c>
      <c r="D64" s="3">
        <f>0</f>
        <v>0</v>
      </c>
      <c r="E64" s="3">
        <f>(1785565+0+0)</f>
        <v>1785565</v>
      </c>
      <c r="F64" s="3">
        <f>0</f>
        <v>0</v>
      </c>
      <c r="G64" s="3">
        <f>1519203</f>
        <v>1519203</v>
      </c>
      <c r="H64" s="3">
        <f>(0+1519203)</f>
        <v>1519203</v>
      </c>
      <c r="I64" s="3">
        <f>((1785565+0+0)-(0+1519203))</f>
        <v>266362</v>
      </c>
    </row>
    <row r="65" spans="1:9" ht="14" x14ac:dyDescent="0.3">
      <c r="A65" s="2" t="s">
        <v>11</v>
      </c>
      <c r="B65" s="3">
        <f>103676</f>
        <v>103676</v>
      </c>
      <c r="C65" s="3">
        <f>0</f>
        <v>0</v>
      </c>
      <c r="D65" s="3">
        <f>0</f>
        <v>0</v>
      </c>
      <c r="E65" s="3">
        <f>(103676+0+0)</f>
        <v>103676</v>
      </c>
      <c r="F65" s="3">
        <f>0</f>
        <v>0</v>
      </c>
      <c r="G65" s="3">
        <f>42756</f>
        <v>42756</v>
      </c>
      <c r="H65" s="3">
        <f>(0+42756)</f>
        <v>42756</v>
      </c>
      <c r="I65" s="3">
        <f>((103676+0+0)-(0+42756))</f>
        <v>60920</v>
      </c>
    </row>
    <row r="66" spans="1:9" ht="14" x14ac:dyDescent="0.3">
      <c r="A66" s="2" t="s">
        <v>12</v>
      </c>
      <c r="B66" s="3">
        <f>1685520</f>
        <v>1685520</v>
      </c>
      <c r="C66" s="3">
        <f>0</f>
        <v>0</v>
      </c>
      <c r="D66" s="3">
        <f>0</f>
        <v>0</v>
      </c>
      <c r="E66" s="3">
        <f>(1685520+0+0)</f>
        <v>1685520</v>
      </c>
      <c r="F66" s="3">
        <f>0</f>
        <v>0</v>
      </c>
      <c r="G66" s="3">
        <f>1321379</f>
        <v>1321379</v>
      </c>
      <c r="H66" s="3">
        <f>(0+1321379)</f>
        <v>1321379</v>
      </c>
      <c r="I66" s="3">
        <f>((1685520+0+0)-(0+1321379))</f>
        <v>364141</v>
      </c>
    </row>
    <row r="67" spans="1:9" ht="14" x14ac:dyDescent="0.3">
      <c r="A67" s="2" t="s">
        <v>13</v>
      </c>
      <c r="B67" s="3">
        <f>0</f>
        <v>0</v>
      </c>
      <c r="C67" s="3">
        <f>0</f>
        <v>0</v>
      </c>
      <c r="D67" s="3">
        <f>0</f>
        <v>0</v>
      </c>
      <c r="E67" s="3">
        <f>(0+0+0)</f>
        <v>0</v>
      </c>
      <c r="F67" s="3">
        <f>0</f>
        <v>0</v>
      </c>
      <c r="G67" s="3">
        <f>0</f>
        <v>0</v>
      </c>
      <c r="H67" s="3">
        <f>(0+0)</f>
        <v>0</v>
      </c>
      <c r="I67" s="3">
        <f>((0+0+0)-(0+0))</f>
        <v>0</v>
      </c>
    </row>
    <row r="68" spans="1:9" ht="14" x14ac:dyDescent="0.3">
      <c r="A68" s="2" t="s">
        <v>14</v>
      </c>
      <c r="B68" s="3">
        <f>2376990</f>
        <v>2376990</v>
      </c>
      <c r="C68" s="3">
        <f>0</f>
        <v>0</v>
      </c>
      <c r="D68" s="3">
        <f>0</f>
        <v>0</v>
      </c>
      <c r="E68" s="3">
        <f>(2376990+0+0)</f>
        <v>2376990</v>
      </c>
      <c r="F68" s="3">
        <f>0</f>
        <v>0</v>
      </c>
      <c r="G68" s="3">
        <f>1322405</f>
        <v>1322405</v>
      </c>
      <c r="H68" s="3">
        <f>(0+1322405)</f>
        <v>1322405</v>
      </c>
      <c r="I68" s="3">
        <f>((2376990+0+0)-(0+1322405))</f>
        <v>1054585</v>
      </c>
    </row>
    <row r="69" spans="1:9" ht="14" x14ac:dyDescent="0.3">
      <c r="A69" s="2" t="s">
        <v>15</v>
      </c>
      <c r="B69" s="3">
        <f>2741432</f>
        <v>2741432</v>
      </c>
      <c r="C69" s="3">
        <f>0</f>
        <v>0</v>
      </c>
      <c r="D69" s="3">
        <f>0</f>
        <v>0</v>
      </c>
      <c r="E69" s="3">
        <f>(2741432+0+0)</f>
        <v>2741432</v>
      </c>
      <c r="F69" s="3">
        <f>0</f>
        <v>0</v>
      </c>
      <c r="G69" s="3">
        <f>2627563</f>
        <v>2627563</v>
      </c>
      <c r="H69" s="3">
        <f>(0+2627563)</f>
        <v>2627563</v>
      </c>
      <c r="I69" s="3">
        <f>((2741432+0+0)-(0+2627563))</f>
        <v>113869</v>
      </c>
    </row>
    <row r="70" spans="1:9" ht="14" x14ac:dyDescent="0.3">
      <c r="A70" s="2" t="s">
        <v>16</v>
      </c>
      <c r="B70" s="3">
        <f>3935785</f>
        <v>3935785</v>
      </c>
      <c r="C70" s="3">
        <f>0</f>
        <v>0</v>
      </c>
      <c r="D70" s="3">
        <f>0</f>
        <v>0</v>
      </c>
      <c r="E70" s="3">
        <f>(3935785+0+0)</f>
        <v>3935785</v>
      </c>
      <c r="F70" s="3">
        <f>143571</f>
        <v>143571</v>
      </c>
      <c r="G70" s="3">
        <f>3025470</f>
        <v>3025470</v>
      </c>
      <c r="H70" s="3">
        <f>(143571+3025470)</f>
        <v>3169041</v>
      </c>
      <c r="I70" s="3">
        <f>((3935785+0+0)-(143571+3025470))</f>
        <v>766744</v>
      </c>
    </row>
    <row r="71" spans="1:9" ht="14" x14ac:dyDescent="0.3">
      <c r="A71" s="2" t="s">
        <v>17</v>
      </c>
      <c r="B71" s="3">
        <f>0</f>
        <v>0</v>
      </c>
      <c r="C71" s="3">
        <f>0</f>
        <v>0</v>
      </c>
      <c r="D71" s="3">
        <f>0</f>
        <v>0</v>
      </c>
      <c r="E71" s="3">
        <f>(0+0+0)</f>
        <v>0</v>
      </c>
      <c r="F71" s="3">
        <f>0</f>
        <v>0</v>
      </c>
      <c r="G71" s="3">
        <f>0</f>
        <v>0</v>
      </c>
      <c r="H71" s="3">
        <f>(0+0)</f>
        <v>0</v>
      </c>
      <c r="I71" s="3">
        <f>((0+0+0)-(0+0))</f>
        <v>0</v>
      </c>
    </row>
    <row r="72" spans="1:9" ht="14" x14ac:dyDescent="0.3">
      <c r="A72" s="2" t="s">
        <v>18</v>
      </c>
      <c r="B72" s="3">
        <f>0</f>
        <v>0</v>
      </c>
      <c r="C72" s="3">
        <f>0</f>
        <v>0</v>
      </c>
      <c r="D72" s="3">
        <f>0</f>
        <v>0</v>
      </c>
      <c r="E72" s="3">
        <f>(0+0+0)</f>
        <v>0</v>
      </c>
      <c r="F72" s="3">
        <f>0</f>
        <v>0</v>
      </c>
      <c r="G72" s="3">
        <f>0</f>
        <v>0</v>
      </c>
      <c r="H72" s="3">
        <f>(0+0)</f>
        <v>0</v>
      </c>
      <c r="I72" s="3">
        <f>((0+0+0)-(0+0))</f>
        <v>0</v>
      </c>
    </row>
    <row r="73" spans="1:9" ht="14" x14ac:dyDescent="0.3">
      <c r="A73" s="2" t="s">
        <v>19</v>
      </c>
      <c r="B73" s="3">
        <f>435294</f>
        <v>435294</v>
      </c>
      <c r="C73" s="3">
        <f>112543</f>
        <v>112543</v>
      </c>
      <c r="D73" s="3">
        <f>0</f>
        <v>0</v>
      </c>
      <c r="E73" s="3">
        <f>(435294+112543+0)</f>
        <v>547837</v>
      </c>
      <c r="F73" s="3">
        <f>0</f>
        <v>0</v>
      </c>
      <c r="G73" s="3">
        <f>380130</f>
        <v>380130</v>
      </c>
      <c r="H73" s="3">
        <f>(0+380130)</f>
        <v>380130</v>
      </c>
      <c r="I73" s="3">
        <f>((435294+112543+0)-(0+380130))</f>
        <v>167707</v>
      </c>
    </row>
    <row r="74" spans="1:9" ht="14" x14ac:dyDescent="0.3">
      <c r="A74" s="2" t="s">
        <v>20</v>
      </c>
      <c r="B74" s="3">
        <f>114046</f>
        <v>114046</v>
      </c>
      <c r="C74" s="3">
        <f>0</f>
        <v>0</v>
      </c>
      <c r="D74" s="3">
        <f>0</f>
        <v>0</v>
      </c>
      <c r="E74" s="3">
        <f>(114046+0+0)</f>
        <v>114046</v>
      </c>
      <c r="F74" s="3">
        <f>0</f>
        <v>0</v>
      </c>
      <c r="G74" s="3">
        <f>102527</f>
        <v>102527</v>
      </c>
      <c r="H74" s="3">
        <f>(0+102527)</f>
        <v>102527</v>
      </c>
      <c r="I74" s="3">
        <f>((114046+0+0)-(0+102527))</f>
        <v>11519</v>
      </c>
    </row>
    <row r="75" spans="1:9" ht="14" x14ac:dyDescent="0.3">
      <c r="A75" s="2" t="s">
        <v>21</v>
      </c>
      <c r="B75" s="3">
        <f>0</f>
        <v>0</v>
      </c>
      <c r="C75" s="3">
        <f>0</f>
        <v>0</v>
      </c>
      <c r="D75" s="3">
        <f>0</f>
        <v>0</v>
      </c>
      <c r="E75" s="3">
        <f>(0+0+0)</f>
        <v>0</v>
      </c>
      <c r="F75" s="3">
        <f>0</f>
        <v>0</v>
      </c>
      <c r="G75" s="3">
        <f>0</f>
        <v>0</v>
      </c>
      <c r="H75" s="3">
        <f>(0+0)</f>
        <v>0</v>
      </c>
      <c r="I75" s="3">
        <f>((0+0+0)-(0+0))</f>
        <v>0</v>
      </c>
    </row>
    <row r="76" spans="1:9" ht="14" x14ac:dyDescent="0.3">
      <c r="A76" s="2" t="s">
        <v>22</v>
      </c>
      <c r="B76" s="3">
        <f>5019145</f>
        <v>5019145</v>
      </c>
      <c r="C76" s="3">
        <f>0</f>
        <v>0</v>
      </c>
      <c r="D76" s="3">
        <f>0</f>
        <v>0</v>
      </c>
      <c r="E76" s="3">
        <f>(5019145+0+0)</f>
        <v>5019145</v>
      </c>
      <c r="F76" s="3">
        <f>0</f>
        <v>0</v>
      </c>
      <c r="G76" s="3">
        <f>3367085</f>
        <v>3367085</v>
      </c>
      <c r="H76" s="3">
        <f>(0+3367085)</f>
        <v>3367085</v>
      </c>
      <c r="I76" s="3">
        <f>((5019145+0+0)-(0+3367085))</f>
        <v>1652060</v>
      </c>
    </row>
    <row r="77" spans="1:9" ht="14" x14ac:dyDescent="0.3">
      <c r="A77" s="2" t="s">
        <v>23</v>
      </c>
      <c r="B77" s="3">
        <f>1506044</f>
        <v>1506044</v>
      </c>
      <c r="C77" s="3">
        <f>0</f>
        <v>0</v>
      </c>
      <c r="D77" s="3">
        <f>0</f>
        <v>0</v>
      </c>
      <c r="E77" s="3">
        <f>(1506044+0+0)</f>
        <v>1506044</v>
      </c>
      <c r="F77" s="3">
        <f>0</f>
        <v>0</v>
      </c>
      <c r="G77" s="3">
        <f>1166087</f>
        <v>1166087</v>
      </c>
      <c r="H77" s="3">
        <f>(0+1166087)</f>
        <v>1166087</v>
      </c>
      <c r="I77" s="3">
        <f>((1506044+0+0)-(0+1166087))</f>
        <v>339957</v>
      </c>
    </row>
    <row r="78" spans="1:9" ht="14" x14ac:dyDescent="0.3">
      <c r="A78" s="2" t="s">
        <v>24</v>
      </c>
      <c r="B78" s="3">
        <f>328811</f>
        <v>328811</v>
      </c>
      <c r="C78" s="3">
        <f>0</f>
        <v>0</v>
      </c>
      <c r="D78" s="3">
        <f>0</f>
        <v>0</v>
      </c>
      <c r="E78" s="3">
        <f>(328811+0+0)</f>
        <v>328811</v>
      </c>
      <c r="F78" s="3">
        <f>0</f>
        <v>0</v>
      </c>
      <c r="G78" s="3">
        <f>250201</f>
        <v>250201</v>
      </c>
      <c r="H78" s="3">
        <f>(0+250201)</f>
        <v>250201</v>
      </c>
      <c r="I78" s="3">
        <f>((328811+0+0)-(0+250201))</f>
        <v>78610</v>
      </c>
    </row>
    <row r="79" spans="1:9" ht="14" x14ac:dyDescent="0.3">
      <c r="A79" s="2" t="s">
        <v>25</v>
      </c>
      <c r="B79" s="3">
        <f>771452</f>
        <v>771452</v>
      </c>
      <c r="C79" s="3">
        <f>0</f>
        <v>0</v>
      </c>
      <c r="D79" s="3">
        <f>0</f>
        <v>0</v>
      </c>
      <c r="E79" s="3">
        <f>(771452+0+0)</f>
        <v>771452</v>
      </c>
      <c r="F79" s="3">
        <f>0</f>
        <v>0</v>
      </c>
      <c r="G79" s="3">
        <f>445716</f>
        <v>445716</v>
      </c>
      <c r="H79" s="3">
        <f>(0+445716)</f>
        <v>445716</v>
      </c>
      <c r="I79" s="3">
        <f>((771452+0+0)-(0+445716))</f>
        <v>325736</v>
      </c>
    </row>
    <row r="80" spans="1:9" ht="14" x14ac:dyDescent="0.3">
      <c r="A80" s="2" t="s">
        <v>26</v>
      </c>
      <c r="B80" s="3">
        <f>2367649</f>
        <v>2367649</v>
      </c>
      <c r="C80" s="3">
        <f>0</f>
        <v>0</v>
      </c>
      <c r="D80" s="3">
        <f>0</f>
        <v>0</v>
      </c>
      <c r="E80" s="3">
        <f>(2367649+0+0)</f>
        <v>2367649</v>
      </c>
      <c r="F80" s="3">
        <f>0</f>
        <v>0</v>
      </c>
      <c r="G80" s="3">
        <f>898412</f>
        <v>898412</v>
      </c>
      <c r="H80" s="3">
        <f>(0+898412)</f>
        <v>898412</v>
      </c>
      <c r="I80" s="3">
        <f>((2367649+0+0)-(0+898412))</f>
        <v>1469237</v>
      </c>
    </row>
    <row r="81" spans="1:9" ht="14" x14ac:dyDescent="0.3">
      <c r="A81" s="5" t="s">
        <v>30</v>
      </c>
      <c r="B81" s="5"/>
      <c r="C81" s="5"/>
      <c r="D81" s="5"/>
      <c r="E81" s="5"/>
      <c r="F81" s="5"/>
      <c r="G81" s="5"/>
      <c r="H81" s="5"/>
      <c r="I81" s="5"/>
    </row>
    <row r="82" spans="1:9" ht="14" x14ac:dyDescent="0.3">
      <c r="A82" s="4" t="s">
        <v>1</v>
      </c>
      <c r="B82" s="1" t="s">
        <v>2</v>
      </c>
      <c r="C82" s="1" t="s">
        <v>3</v>
      </c>
      <c r="D82" s="1" t="s">
        <v>4</v>
      </c>
      <c r="E82" s="1" t="s">
        <v>5</v>
      </c>
      <c r="F82" s="1" t="s">
        <v>6</v>
      </c>
      <c r="G82" s="1" t="s">
        <v>7</v>
      </c>
      <c r="H82" s="1" t="s">
        <v>8</v>
      </c>
      <c r="I82" s="1" t="s">
        <v>9</v>
      </c>
    </row>
    <row r="83" spans="1:9" ht="14" x14ac:dyDescent="0.3">
      <c r="A83" s="4"/>
      <c r="B83" s="1">
        <v>2023</v>
      </c>
      <c r="C83" s="1">
        <v>2023</v>
      </c>
      <c r="D83" s="1">
        <v>2023</v>
      </c>
      <c r="E83" s="1">
        <v>2023</v>
      </c>
      <c r="F83" s="1">
        <v>2023</v>
      </c>
      <c r="G83" s="1">
        <v>2023</v>
      </c>
      <c r="H83" s="1">
        <v>2023</v>
      </c>
      <c r="I83" s="1">
        <v>2023</v>
      </c>
    </row>
    <row r="84" spans="1:9" ht="14" x14ac:dyDescent="0.3">
      <c r="A84" s="2" t="s">
        <v>10</v>
      </c>
      <c r="B84" s="3">
        <f>(49623+8713233+(2779935+2273472)+125614+4838761+221178)</f>
        <v>19001816</v>
      </c>
      <c r="C84" s="3">
        <f>(0+0+(0+0)+0+0+0)</f>
        <v>0</v>
      </c>
      <c r="D84" s="3">
        <f>(0+0+(0+0)+0+0+0)</f>
        <v>0</v>
      </c>
      <c r="E84" s="3">
        <f>((49623+8713233+(2779935+2273472)+125614+4838761+221178)+(0+0+(0+0)+0+0+0)+(0+0+(0+0)+0+0+0))</f>
        <v>19001816</v>
      </c>
      <c r="F84" s="3">
        <f>(0+0+(0+0)+0+0+0)</f>
        <v>0</v>
      </c>
      <c r="G84" s="3">
        <f>(52151+8622146+(618464+350042)+864+205841+4848137)</f>
        <v>14697645</v>
      </c>
      <c r="H84" s="3">
        <f>((0+0+(0+0)+0+0+0)+(52151+8622146+(618464+350042)+864+205841+4848137))</f>
        <v>14697645</v>
      </c>
      <c r="I84" s="3">
        <f>(((49623+8713233+(2779935+2273472)+125614+4838761+221178)+(0+0+(0+0)+0+0+0)+(0+0+(0+0)+0+0+0))-((0+0+(0+0)+0+0+0)+(52151+8622146+(618464+350042)+864+205841+4848137)))</f>
        <v>4304171</v>
      </c>
    </row>
    <row r="85" spans="1:9" ht="14" x14ac:dyDescent="0.3">
      <c r="A85" s="2" t="s">
        <v>11</v>
      </c>
      <c r="B85" s="3">
        <f>(0+0+(0+0)+0+0+421064)</f>
        <v>421064</v>
      </c>
      <c r="C85" s="3">
        <f>(0+0+(0+0)+0+0+0)</f>
        <v>0</v>
      </c>
      <c r="D85" s="3">
        <f>(0+0+(0+0)+0+0+0)</f>
        <v>0</v>
      </c>
      <c r="E85" s="3">
        <f>((0+0+(0+0)+0+0+421064)+(0+0+(0+0)+0+0+0)+(0+0+(0+0)+0+0+0))</f>
        <v>421064</v>
      </c>
      <c r="F85" s="3">
        <f>(0+0+(0+0)+0+0+0)</f>
        <v>0</v>
      </c>
      <c r="G85" s="3">
        <f>(0+0+(0+0)+0+0+(-48))</f>
        <v>-48</v>
      </c>
      <c r="H85" s="3">
        <f>((0+0+(0+0)+0+0+0)+(0+0+(0+0)+0+0+(-48)))</f>
        <v>-48</v>
      </c>
      <c r="I85" s="3">
        <f>(((0+0+(0+0)+0+0+421064)+(0+0+(0+0)+0+0+0)+(0+0+(0+0)+0+0+0))-((0+0+(0+0)+0+0+0)+(0+0+(0+0)+0+0+(-48))))</f>
        <v>421112</v>
      </c>
    </row>
    <row r="86" spans="1:9" ht="14" x14ac:dyDescent="0.3">
      <c r="A86" s="2" t="s">
        <v>12</v>
      </c>
      <c r="B86" s="3">
        <f>(684141+323677+(6207474+6938000)+67836+152299+1280934)</f>
        <v>15654361</v>
      </c>
      <c r="C86" s="3">
        <f>((-3027)+40501+(0+0)+0+43377+0)</f>
        <v>80851</v>
      </c>
      <c r="D86" s="3">
        <f t="shared" ref="D86:D100" si="6">(0+0+(0+0)+0+0+0)</f>
        <v>0</v>
      </c>
      <c r="E86" s="3">
        <f>((684141+323677+(6207474+6938000)+67836+152299+1280934)+((-3027)+40501+(0+0)+0+43377+0)+(0+0+(0+0)+0+0+0))</f>
        <v>15735212</v>
      </c>
      <c r="F86" s="3">
        <f>(169857+42815+(0+0)+0+0+0)</f>
        <v>212672</v>
      </c>
      <c r="G86" s="3">
        <f>(477881+304486+(236190+1523599)+30155+185804+565322)</f>
        <v>3323437</v>
      </c>
      <c r="H86" s="3">
        <f>((169857+42815+(0+0)+0+0+0)+(477881+304486+(236190+1523599)+30155+185804+565322))</f>
        <v>3536109</v>
      </c>
      <c r="I86" s="3">
        <f>(((684141+323677+(6207474+6938000)+67836+152299+1280934)+((-3027)+40501+(0+0)+0+43377+0)+(0+0+(0+0)+0+0+0))-((169857+42815+(0+0)+0+0+0)+(477881+304486+(236190+1523599)+30155+185804+565322)))</f>
        <v>12199103</v>
      </c>
    </row>
    <row r="87" spans="1:9" ht="14" x14ac:dyDescent="0.3">
      <c r="A87" s="2" t="s">
        <v>13</v>
      </c>
      <c r="B87" s="3">
        <f>(39873+1479531+(1183480+2695841)+139308+517911+215146)</f>
        <v>6271090</v>
      </c>
      <c r="C87" s="3">
        <f>(41471+131926+(0+0)+0+8173+0)</f>
        <v>181570</v>
      </c>
      <c r="D87" s="3">
        <f t="shared" si="6"/>
        <v>0</v>
      </c>
      <c r="E87" s="3">
        <f>((39873+1479531+(1183480+2695841)+139308+517911+215146)+(41471+131926+(0+0)+0+8173+0)+(0+0+(0+0)+0+0+0))</f>
        <v>6452660</v>
      </c>
      <c r="F87" s="3">
        <f>(0+117470+(0+0)+0+2636+0)</f>
        <v>120106</v>
      </c>
      <c r="G87" s="3">
        <f>(0+353255+(0+441573)+0+96044+0)</f>
        <v>890872</v>
      </c>
      <c r="H87" s="3">
        <f>((0+117470+(0+0)+0+2636+0)+(0+353255+(0+441573)+0+96044+0))</f>
        <v>1010978</v>
      </c>
      <c r="I87" s="3">
        <f>(((39873+1479531+(1183480+2695841)+139308+517911+215146)+(41471+131926+(0+0)+0+8173+0)+(0+0+(0+0)+0+0+0))-((0+117470+(0+0)+0+2636+0)+(0+353255+(0+441573)+0+96044+0)))</f>
        <v>5441682</v>
      </c>
    </row>
    <row r="88" spans="1:9" ht="14" x14ac:dyDescent="0.3">
      <c r="A88" s="2" t="s">
        <v>14</v>
      </c>
      <c r="B88" s="3">
        <f>(200+33490+(3314692+5629767)+28683+335167+26162)</f>
        <v>9368161</v>
      </c>
      <c r="C88" s="3">
        <f>(0+0+(0+0)+0+0+0)</f>
        <v>0</v>
      </c>
      <c r="D88" s="3">
        <f t="shared" si="6"/>
        <v>0</v>
      </c>
      <c r="E88" s="3">
        <f>((200+33490+(3314692+5629767)+28683+335167+26162)+(0+0+(0+0)+0+0+0)+(0+0+(0+0)+0+0+0))</f>
        <v>9368161</v>
      </c>
      <c r="F88" s="3">
        <f>(157+0+(5964+15704)+0+72166+1306)</f>
        <v>95297</v>
      </c>
      <c r="G88" s="3">
        <f>(23+34101+(18048+745208)+0+244756+11268)</f>
        <v>1053404</v>
      </c>
      <c r="H88" s="3">
        <f>((157+0+(5964+15704)+0+72166+1306)+(23+34101+(18048+745208)+0+244756+11268))</f>
        <v>1148701</v>
      </c>
      <c r="I88" s="3">
        <f>(((200+33490+(3314692+5629767)+28683+335167+26162)+(0+0+(0+0)+0+0+0)+(0+0+(0+0)+0+0+0))-((157+0+(5964+15704)+0+72166+1306)+(23+34101+(18048+745208)+0+244756+11268)))</f>
        <v>8219460</v>
      </c>
    </row>
    <row r="89" spans="1:9" ht="14" x14ac:dyDescent="0.3">
      <c r="A89" s="2" t="s">
        <v>15</v>
      </c>
      <c r="B89" s="3">
        <f>(1499157+2146134+(3616445+4137270)+245574+2263069+129683)</f>
        <v>14037332</v>
      </c>
      <c r="C89" s="3">
        <f>(0+0+(0+0)+0+0+0)</f>
        <v>0</v>
      </c>
      <c r="D89" s="3">
        <f t="shared" si="6"/>
        <v>0</v>
      </c>
      <c r="E89" s="3">
        <f>((1499157+2146134+(3616445+4137270)+245574+2263069+129683)+(0+0+(0+0)+0+0+0)+(0+0+(0+0)+0+0+0))</f>
        <v>14037332</v>
      </c>
      <c r="F89" s="3">
        <f>(0+19785+(0+0)+0+0+0)</f>
        <v>19785</v>
      </c>
      <c r="G89" s="3">
        <f>(1415076+2068977+(0+454076)+243168+2228381+34912)</f>
        <v>6444590</v>
      </c>
      <c r="H89" s="3">
        <f>((0+19785+(0+0)+0+0+0)+(1415076+2068977+(0+454076)+243168+2228381+34912))</f>
        <v>6464375</v>
      </c>
      <c r="I89" s="3">
        <f>(((1499157+2146134+(3616445+4137270)+245574+2263069+129683)+(0+0+(0+0)+0+0+0)+(0+0+(0+0)+0+0+0))-((0+19785+(0+0)+0+0+0)+(1415076+2068977+(0+454076)+243168+2228381+34912)))</f>
        <v>7572957</v>
      </c>
    </row>
    <row r="90" spans="1:9" ht="14" x14ac:dyDescent="0.3">
      <c r="A90" s="2" t="s">
        <v>16</v>
      </c>
      <c r="B90" s="3">
        <f>(0+6333092+(2855225+3469990)+213218+45526+1291)</f>
        <v>12918342</v>
      </c>
      <c r="C90" s="3">
        <f>(0+0+(0+0)+0+0+0)</f>
        <v>0</v>
      </c>
      <c r="D90" s="3">
        <f t="shared" si="6"/>
        <v>0</v>
      </c>
      <c r="E90" s="3">
        <f>((0+6333092+(2855225+3469990)+213218+45526+1291)+(0+0+(0+0)+0+0+0)+(0+0+(0+0)+0+0+0))</f>
        <v>12918342</v>
      </c>
      <c r="F90" s="3">
        <f>(0+632889+(16301+38038)+617+3856+84)</f>
        <v>691785</v>
      </c>
      <c r="G90" s="3">
        <f>(0+5430816+(139882+326403)+5297+33092+724)</f>
        <v>5936214</v>
      </c>
      <c r="H90" s="3">
        <f>((0+632889+(16301+38038)+617+3856+84)+(0+5430816+(139882+326403)+5297+33092+724))</f>
        <v>6627999</v>
      </c>
      <c r="I90" s="3">
        <f>(((0+6333092+(2855225+3469990)+213218+45526+1291)+(0+0+(0+0)+0+0+0)+(0+0+(0+0)+0+0+0))-((0+632889+(16301+38038)+617+3856+84)+(0+5430816+(139882+326403)+5297+33092+724)))</f>
        <v>6290343</v>
      </c>
    </row>
    <row r="91" spans="1:9" ht="14" x14ac:dyDescent="0.3">
      <c r="A91" s="2" t="s">
        <v>17</v>
      </c>
      <c r="B91" s="3">
        <f>(0+32728+(273528+494514)+463+0+1497)</f>
        <v>802730</v>
      </c>
      <c r="C91" s="3">
        <f>(0+85496+(0+0)+0+2384+0)</f>
        <v>87880</v>
      </c>
      <c r="D91" s="3">
        <f t="shared" si="6"/>
        <v>0</v>
      </c>
      <c r="E91" s="3">
        <f>((0+32728+(273528+494514)+463+0+1497)+(0+85496+(0+0)+0+2384+0)+(0+0+(0+0)+0+0+0))</f>
        <v>890610</v>
      </c>
      <c r="F91" s="3">
        <f>(0+0+(0+0)+0+0+0)</f>
        <v>0</v>
      </c>
      <c r="G91" s="3">
        <f>(0+0+(0+0)+0+0+0)</f>
        <v>0</v>
      </c>
      <c r="H91" s="3">
        <f>((0+0+(0+0)+0+0+0)+(0+0+(0+0)+0+0+0))</f>
        <v>0</v>
      </c>
      <c r="I91" s="3">
        <f>(((0+32728+(273528+494514)+463+0+1497)+(0+85496+(0+0)+0+2384+0)+(0+0+(0+0)+0+0+0))-((0+0+(0+0)+0+0+0)+(0+0+(0+0)+0+0+0)))</f>
        <v>890610</v>
      </c>
    </row>
    <row r="92" spans="1:9" ht="14" x14ac:dyDescent="0.3">
      <c r="A92" s="2" t="s">
        <v>18</v>
      </c>
      <c r="B92" s="3">
        <f>(567+19655+(298035+5587)+4612+11736+0)</f>
        <v>340192</v>
      </c>
      <c r="C92" s="3">
        <f>(0+11788+(0+0)+0+873+0)</f>
        <v>12661</v>
      </c>
      <c r="D92" s="3">
        <f t="shared" si="6"/>
        <v>0</v>
      </c>
      <c r="E92" s="3">
        <f>((567+19655+(298035+5587)+4612+11736+0)+(0+11788+(0+0)+0+873+0)+(0+0+(0+0)+0+0+0))</f>
        <v>352853</v>
      </c>
      <c r="F92" s="3">
        <f>(0+562+(0+0)+0+4235+0)</f>
        <v>4797</v>
      </c>
      <c r="G92" s="3">
        <f>(453+24953+(24616+0)+0+6949+0)</f>
        <v>56971</v>
      </c>
      <c r="H92" s="3">
        <f>((0+562+(0+0)+0+4235+0)+(453+24953+(24616+0)+0+6949+0))</f>
        <v>61768</v>
      </c>
      <c r="I92" s="3">
        <f>(((567+19655+(298035+5587)+4612+11736+0)+(0+11788+(0+0)+0+873+0)+(0+0+(0+0)+0+0+0))-((0+562+(0+0)+0+4235+0)+(453+24953+(24616+0)+0+6949+0)))</f>
        <v>291085</v>
      </c>
    </row>
    <row r="93" spans="1:9" ht="14" x14ac:dyDescent="0.3">
      <c r="A93" s="2" t="s">
        <v>19</v>
      </c>
      <c r="B93" s="3">
        <f>(88310+265084+(2138377+2504596)+37714+187790+14137)</f>
        <v>5236008</v>
      </c>
      <c r="C93" s="3">
        <f>(0+22570+(0+0)+0+512+0)</f>
        <v>23082</v>
      </c>
      <c r="D93" s="3">
        <f t="shared" si="6"/>
        <v>0</v>
      </c>
      <c r="E93" s="3">
        <f>((88310+265084+(2138377+2504596)+37714+187790+14137)+(0+22570+(0+0)+0+512+0)+(0+0+(0+0)+0+0+0))</f>
        <v>5259090</v>
      </c>
      <c r="F93" s="3">
        <f>(0+22554+(0+0)+0+9708+0)</f>
        <v>32262</v>
      </c>
      <c r="G93" s="3">
        <f>(71054+241484+(655899+1015075)+34289+158295+8658)</f>
        <v>2184754</v>
      </c>
      <c r="H93" s="3">
        <f>((0+22554+(0+0)+0+9708+0)+(71054+241484+(655899+1015075)+34289+158295+8658))</f>
        <v>2217016</v>
      </c>
      <c r="I93" s="3">
        <f>(((88310+265084+(2138377+2504596)+37714+187790+14137)+(0+22570+(0+0)+0+512+0)+(0+0+(0+0)+0+0+0))-((0+22554+(0+0)+0+9708+0)+(71054+241484+(655899+1015075)+34289+158295+8658)))</f>
        <v>3042074</v>
      </c>
    </row>
    <row r="94" spans="1:9" ht="14" x14ac:dyDescent="0.3">
      <c r="A94" s="2" t="s">
        <v>20</v>
      </c>
      <c r="B94" s="3">
        <f>(80636+328589+(115678+0)+17394+20888+18690)</f>
        <v>581875</v>
      </c>
      <c r="C94" s="3">
        <f>(117+11934+(0+0)+0+80+95025)</f>
        <v>107156</v>
      </c>
      <c r="D94" s="3">
        <f t="shared" si="6"/>
        <v>0</v>
      </c>
      <c r="E94" s="3">
        <f>((80636+328589+(115678+0)+17394+20888+18690)+(117+11934+(0+0)+0+80+95025)+(0+0+(0+0)+0+0+0))</f>
        <v>689031</v>
      </c>
      <c r="F94" s="3">
        <f>(0+237+(0+0)+0+68+0)</f>
        <v>305</v>
      </c>
      <c r="G94" s="3">
        <f>(79246+298457+(10175+0)+11517+19491+35185)</f>
        <v>454071</v>
      </c>
      <c r="H94" s="3">
        <f>((0+237+(0+0)+0+68+0)+(79246+298457+(10175+0)+11517+19491+35185))</f>
        <v>454376</v>
      </c>
      <c r="I94" s="3">
        <f>(((80636+328589+(115678+0)+17394+20888+18690)+(117+11934+(0+0)+0+80+95025)+(0+0+(0+0)+0+0+0))-((0+237+(0+0)+0+68+0)+(79246+298457+(10175+0)+11517+19491+35185)))</f>
        <v>234655</v>
      </c>
    </row>
    <row r="95" spans="1:9" ht="14" x14ac:dyDescent="0.3">
      <c r="A95" s="2" t="s">
        <v>21</v>
      </c>
      <c r="B95" s="3">
        <f>(0+0+(0+0)+0+0+0)</f>
        <v>0</v>
      </c>
      <c r="C95" s="3">
        <f>(0+0+(0+0)+0+0+0)</f>
        <v>0</v>
      </c>
      <c r="D95" s="3">
        <f t="shared" si="6"/>
        <v>0</v>
      </c>
      <c r="E95" s="3">
        <f>((0+0+(0+0)+0+0+0)+(0+0+(0+0)+0+0+0)+(0+0+(0+0)+0+0+0))</f>
        <v>0</v>
      </c>
      <c r="F95" s="3">
        <f>(0+0+(0+0)+0+0+0)</f>
        <v>0</v>
      </c>
      <c r="G95" s="3">
        <f>(0+0+(0+0)+0+0+0)</f>
        <v>0</v>
      </c>
      <c r="H95" s="3">
        <f>((0+0+(0+0)+0+0+0)+(0+0+(0+0)+0+0+0))</f>
        <v>0</v>
      </c>
      <c r="I95" s="3">
        <f>(((0+0+(0+0)+0+0+0)+(0+0+(0+0)+0+0+0)+(0+0+(0+0)+0+0+0))-((0+0+(0+0)+0+0+0)+(0+0+(0+0)+0+0+0)))</f>
        <v>0</v>
      </c>
    </row>
    <row r="96" spans="1:9" ht="14" x14ac:dyDescent="0.3">
      <c r="A96" s="2" t="s">
        <v>22</v>
      </c>
      <c r="B96" s="3">
        <f>(1090614+6161183+(7855520+6663437)+67331+1255413+1993793)</f>
        <v>25087291</v>
      </c>
      <c r="C96" s="3">
        <f>(0+1029+(0+0)+0+0+0)</f>
        <v>1029</v>
      </c>
      <c r="D96" s="3">
        <f t="shared" si="6"/>
        <v>0</v>
      </c>
      <c r="E96" s="3">
        <f>((1090614+6161183+(7855520+6663437)+67331+1255413+1993793)+(0+1029+(0+0)+0+0+0)+(0+0+(0+0)+0+0+0))</f>
        <v>25088320</v>
      </c>
      <c r="F96" s="3">
        <f>(601+55335+(0+0)+0+3832+73266)</f>
        <v>133034</v>
      </c>
      <c r="G96" s="3">
        <f>(1083997+5994241+(73401+62262)+50551+1228289+1211180)</f>
        <v>9703921</v>
      </c>
      <c r="H96" s="3">
        <f>((601+55335+(0+0)+0+3832+73266)+(1083997+5994241+(73401+62262)+50551+1228289+1211180))</f>
        <v>9836955</v>
      </c>
      <c r="I96" s="3">
        <f>(((1090614+6161183+(7855520+6663437)+67331+1255413+1993793)+(0+1029+(0+0)+0+0+0)+(0+0+(0+0)+0+0+0))-((601+55335+(0+0)+0+3832+73266)+(1083997+5994241+(73401+62262)+50551+1228289+1211180)))</f>
        <v>15251365</v>
      </c>
    </row>
    <row r="97" spans="1:9" ht="14" x14ac:dyDescent="0.3">
      <c r="A97" s="2" t="s">
        <v>23</v>
      </c>
      <c r="B97" s="3">
        <f>(9085+242173+(144122+0)+15600+135012+2089675)</f>
        <v>2635667</v>
      </c>
      <c r="C97" s="3">
        <f>(69+37958+(0+0)+0+34507+0)</f>
        <v>72534</v>
      </c>
      <c r="D97" s="3">
        <f t="shared" si="6"/>
        <v>0</v>
      </c>
      <c r="E97" s="3">
        <f>((9085+242173+(144122+0)+15600+135012+2089675)+(69+37958+(0+0)+0+34507+0)+(0+0+(0+0)+0+0+0))</f>
        <v>2708201</v>
      </c>
      <c r="F97" s="3">
        <f>(0+0+(0+0)+0+0+2089674)</f>
        <v>2089674</v>
      </c>
      <c r="G97" s="3">
        <f>(8046+193384+(125326+0)+610+146628+0)</f>
        <v>473994</v>
      </c>
      <c r="H97" s="3">
        <f>((0+0+(0+0)+0+0+2089674)+(8046+193384+(125326+0)+610+146628+0))</f>
        <v>2563668</v>
      </c>
      <c r="I97" s="3">
        <f>(((9085+242173+(144122+0)+15600+135012+2089675)+(69+37958+(0+0)+0+34507+0)+(0+0+(0+0)+0+0+0))-((0+0+(0+0)+0+0+2089674)+(8046+193384+(125326+0)+610+146628+0)))</f>
        <v>144533</v>
      </c>
    </row>
    <row r="98" spans="1:9" ht="14" x14ac:dyDescent="0.3">
      <c r="A98" s="2" t="s">
        <v>24</v>
      </c>
      <c r="B98" s="3">
        <f>(29937+20712+(2933747+810701)+73659+463624+13839)</f>
        <v>4346219</v>
      </c>
      <c r="C98" s="3">
        <f>(0+6532+(0+0)+0+0+0)</f>
        <v>6532</v>
      </c>
      <c r="D98" s="3">
        <f t="shared" si="6"/>
        <v>0</v>
      </c>
      <c r="E98" s="3">
        <f>((29937+20712+(2933747+810701)+73659+463624+13839)+(0+6532+(0+0)+0+0+0)+(0+0+(0+0)+0+0+0))</f>
        <v>4352751</v>
      </c>
      <c r="F98" s="3">
        <f>(0+50+(0+0)+0+128+0)</f>
        <v>178</v>
      </c>
      <c r="G98" s="3">
        <f>(27083+25761+(1002499+306922)+25624+440983+12335)</f>
        <v>1841207</v>
      </c>
      <c r="H98" s="3">
        <f>((0+50+(0+0)+0+128+0)+(27083+25761+(1002499+306922)+25624+440983+12335))</f>
        <v>1841385</v>
      </c>
      <c r="I98" s="3">
        <f>(((29937+20712+(2933747+810701)+73659+463624+13839)+(0+6532+(0+0)+0+0+0)+(0+0+(0+0)+0+0+0))-((0+50+(0+0)+0+128+0)+(27083+25761+(1002499+306922)+25624+440983+12335)))</f>
        <v>2511366</v>
      </c>
    </row>
    <row r="99" spans="1:9" ht="14" x14ac:dyDescent="0.3">
      <c r="A99" s="2" t="s">
        <v>25</v>
      </c>
      <c r="B99" s="3">
        <f>((-247659)+739864+(0+0)+2143+114408+53394)</f>
        <v>662150</v>
      </c>
      <c r="C99" s="3">
        <f>(0+0+(0+0)+0+0+0)</f>
        <v>0</v>
      </c>
      <c r="D99" s="3">
        <f t="shared" si="6"/>
        <v>0</v>
      </c>
      <c r="E99" s="3">
        <f>(((-247659)+739864+(0+0)+2143+114408+53394)+(0+0+(0+0)+0+0+0)+(0+0+(0+0)+0+0+0))</f>
        <v>662150</v>
      </c>
      <c r="F99" s="3">
        <f>(0+85272+(0+0)+0+0+0)</f>
        <v>85272</v>
      </c>
      <c r="G99" s="3">
        <f>((-273378)+12316+(0+0)+0+25303+3455)</f>
        <v>-232304</v>
      </c>
      <c r="H99" s="3">
        <f>((0+85272+(0+0)+0+0+0)+((-273378)+12316+(0+0)+0+25303+3455))</f>
        <v>-147032</v>
      </c>
      <c r="I99" s="3">
        <f>((((-247659)+739864+(0+0)+2143+114408+53394)+(0+0+(0+0)+0+0+0)+(0+0+(0+0)+0+0+0))-((0+85272+(0+0)+0+0+0)+((-273378)+12316+(0+0)+0+25303+3455)))</f>
        <v>809182</v>
      </c>
    </row>
    <row r="100" spans="1:9" ht="14" x14ac:dyDescent="0.3">
      <c r="A100" s="2" t="s">
        <v>26</v>
      </c>
      <c r="B100" s="3">
        <f>(230700+333534+(4053252+1317539)+1929+141266+437160)</f>
        <v>6515380</v>
      </c>
      <c r="C100" s="3">
        <f>(88231+140157+(0+0)+0+0+0)</f>
        <v>228388</v>
      </c>
      <c r="D100" s="3">
        <f t="shared" si="6"/>
        <v>0</v>
      </c>
      <c r="E100" s="3">
        <f>((230700+333534+(4053252+1317539)+1929+141266+437160)+(88231+140157+(0+0)+0+0+0)+(0+0+(0+0)+0+0+0))</f>
        <v>6743768</v>
      </c>
      <c r="F100" s="3">
        <f>(0+0+(0+0)+0+0+0)</f>
        <v>0</v>
      </c>
      <c r="G100" s="3">
        <f>(200+418806+(0+0)+0+215+0)</f>
        <v>419221</v>
      </c>
      <c r="H100" s="3">
        <f>((0+0+(0+0)+0+0+0)+(200+418806+(0+0)+0+215+0))</f>
        <v>419221</v>
      </c>
      <c r="I100" s="3">
        <f>(((230700+333534+(4053252+1317539)+1929+141266+437160)+(88231+140157+(0+0)+0+0+0)+(0+0+(0+0)+0+0+0))-((0+0+(0+0)+0+0+0)+(200+418806+(0+0)+0+215+0)))</f>
        <v>6324547</v>
      </c>
    </row>
    <row r="101" spans="1:9" ht="14" x14ac:dyDescent="0.3">
      <c r="A101" s="5" t="s">
        <v>31</v>
      </c>
      <c r="B101" s="5"/>
      <c r="C101" s="5"/>
      <c r="D101" s="5"/>
      <c r="E101" s="5"/>
      <c r="F101" s="5"/>
      <c r="G101" s="5"/>
      <c r="H101" s="5"/>
      <c r="I101" s="5"/>
    </row>
    <row r="102" spans="1:9" ht="14" x14ac:dyDescent="0.3">
      <c r="A102" s="4" t="s">
        <v>1</v>
      </c>
      <c r="B102" s="1" t="s">
        <v>2</v>
      </c>
      <c r="C102" s="1" t="s">
        <v>3</v>
      </c>
      <c r="D102" s="1" t="s">
        <v>4</v>
      </c>
      <c r="E102" s="1" t="s">
        <v>5</v>
      </c>
      <c r="F102" s="1" t="s">
        <v>6</v>
      </c>
      <c r="G102" s="1" t="s">
        <v>7</v>
      </c>
      <c r="H102" s="1" t="s">
        <v>8</v>
      </c>
      <c r="I102" s="1" t="s">
        <v>9</v>
      </c>
    </row>
    <row r="103" spans="1:9" ht="14" x14ac:dyDescent="0.3">
      <c r="A103" s="4"/>
      <c r="B103" s="1">
        <v>2023</v>
      </c>
      <c r="C103" s="1">
        <v>2023</v>
      </c>
      <c r="D103" s="1">
        <v>2023</v>
      </c>
      <c r="E103" s="1">
        <v>2023</v>
      </c>
      <c r="F103" s="1">
        <v>2023</v>
      </c>
      <c r="G103" s="1">
        <v>2023</v>
      </c>
      <c r="H103" s="1">
        <v>2023</v>
      </c>
      <c r="I103" s="1">
        <v>2023</v>
      </c>
    </row>
    <row r="104" spans="1:9" ht="14" x14ac:dyDescent="0.3">
      <c r="A104" s="2" t="s">
        <v>10</v>
      </c>
      <c r="B104" s="3">
        <f>49623</f>
        <v>49623</v>
      </c>
      <c r="C104" s="3">
        <f>0</f>
        <v>0</v>
      </c>
      <c r="D104" s="3">
        <f>0</f>
        <v>0</v>
      </c>
      <c r="E104" s="3">
        <f>(49623+0+0)</f>
        <v>49623</v>
      </c>
      <c r="F104" s="3">
        <f>0</f>
        <v>0</v>
      </c>
      <c r="G104" s="3">
        <f>52151</f>
        <v>52151</v>
      </c>
      <c r="H104" s="3">
        <f>(0+52151)</f>
        <v>52151</v>
      </c>
      <c r="I104" s="3">
        <f>((49623+0+0)-(0+52151))</f>
        <v>-2528</v>
      </c>
    </row>
    <row r="105" spans="1:9" ht="14" x14ac:dyDescent="0.3">
      <c r="A105" s="2" t="s">
        <v>11</v>
      </c>
      <c r="B105" s="3">
        <f>0</f>
        <v>0</v>
      </c>
      <c r="C105" s="3">
        <f>0</f>
        <v>0</v>
      </c>
      <c r="D105" s="3">
        <f>0</f>
        <v>0</v>
      </c>
      <c r="E105" s="3">
        <f>(0+0+0)</f>
        <v>0</v>
      </c>
      <c r="F105" s="3">
        <f>0</f>
        <v>0</v>
      </c>
      <c r="G105" s="3">
        <f>0</f>
        <v>0</v>
      </c>
      <c r="H105" s="3">
        <f>(0+0)</f>
        <v>0</v>
      </c>
      <c r="I105" s="3">
        <f>((0+0+0)-(0+0))</f>
        <v>0</v>
      </c>
    </row>
    <row r="106" spans="1:9" ht="14" x14ac:dyDescent="0.3">
      <c r="A106" s="2" t="s">
        <v>12</v>
      </c>
      <c r="B106" s="3">
        <f>684141</f>
        <v>684141</v>
      </c>
      <c r="C106" s="3">
        <f>(-3027)</f>
        <v>-3027</v>
      </c>
      <c r="D106" s="3">
        <f>0</f>
        <v>0</v>
      </c>
      <c r="E106" s="3">
        <f>(684141+(-3027)+0)</f>
        <v>681114</v>
      </c>
      <c r="F106" s="3">
        <f>169857</f>
        <v>169857</v>
      </c>
      <c r="G106" s="3">
        <f>477881</f>
        <v>477881</v>
      </c>
      <c r="H106" s="3">
        <f>(169857+477881)</f>
        <v>647738</v>
      </c>
      <c r="I106" s="3">
        <f>((684141+(-3027)+0)-(169857+477881))</f>
        <v>33376</v>
      </c>
    </row>
    <row r="107" spans="1:9" ht="14" x14ac:dyDescent="0.3">
      <c r="A107" s="2" t="s">
        <v>13</v>
      </c>
      <c r="B107" s="3">
        <f>39873</f>
        <v>39873</v>
      </c>
      <c r="C107" s="3">
        <f>41471</f>
        <v>41471</v>
      </c>
      <c r="D107" s="3">
        <f>0</f>
        <v>0</v>
      </c>
      <c r="E107" s="3">
        <f>(39873+41471+0)</f>
        <v>81344</v>
      </c>
      <c r="F107" s="3">
        <f>0</f>
        <v>0</v>
      </c>
      <c r="G107" s="3">
        <f>0</f>
        <v>0</v>
      </c>
      <c r="H107" s="3">
        <f>(0+0)</f>
        <v>0</v>
      </c>
      <c r="I107" s="3">
        <f>((39873+41471+0)-(0+0))</f>
        <v>81344</v>
      </c>
    </row>
    <row r="108" spans="1:9" ht="14" x14ac:dyDescent="0.3">
      <c r="A108" s="2" t="s">
        <v>14</v>
      </c>
      <c r="B108" s="3">
        <f>200</f>
        <v>200</v>
      </c>
      <c r="C108" s="3">
        <f>0</f>
        <v>0</v>
      </c>
      <c r="D108" s="3">
        <f>0</f>
        <v>0</v>
      </c>
      <c r="E108" s="3">
        <f>(200+0+0)</f>
        <v>200</v>
      </c>
      <c r="F108" s="3">
        <f>157</f>
        <v>157</v>
      </c>
      <c r="G108" s="3">
        <f>23</f>
        <v>23</v>
      </c>
      <c r="H108" s="3">
        <f>(157+23)</f>
        <v>180</v>
      </c>
      <c r="I108" s="3">
        <f>((200+0+0)-(157+23))</f>
        <v>20</v>
      </c>
    </row>
    <row r="109" spans="1:9" ht="14" x14ac:dyDescent="0.3">
      <c r="A109" s="2" t="s">
        <v>15</v>
      </c>
      <c r="B109" s="3">
        <f>1499157</f>
        <v>1499157</v>
      </c>
      <c r="C109" s="3">
        <f>0</f>
        <v>0</v>
      </c>
      <c r="D109" s="3">
        <f>0</f>
        <v>0</v>
      </c>
      <c r="E109" s="3">
        <f>(1499157+0+0)</f>
        <v>1499157</v>
      </c>
      <c r="F109" s="3">
        <f>0</f>
        <v>0</v>
      </c>
      <c r="G109" s="3">
        <f>1415076</f>
        <v>1415076</v>
      </c>
      <c r="H109" s="3">
        <f>(0+1415076)</f>
        <v>1415076</v>
      </c>
      <c r="I109" s="3">
        <f>((1499157+0+0)-(0+1415076))</f>
        <v>84081</v>
      </c>
    </row>
    <row r="110" spans="1:9" ht="14" x14ac:dyDescent="0.3">
      <c r="A110" s="2" t="s">
        <v>16</v>
      </c>
      <c r="B110" s="3">
        <f>0</f>
        <v>0</v>
      </c>
      <c r="C110" s="3">
        <f>0</f>
        <v>0</v>
      </c>
      <c r="D110" s="3">
        <f>0</f>
        <v>0</v>
      </c>
      <c r="E110" s="3">
        <f>(0+0+0)</f>
        <v>0</v>
      </c>
      <c r="F110" s="3">
        <f>0</f>
        <v>0</v>
      </c>
      <c r="G110" s="3">
        <f>0</f>
        <v>0</v>
      </c>
      <c r="H110" s="3">
        <f>(0+0)</f>
        <v>0</v>
      </c>
      <c r="I110" s="3">
        <f>((0+0+0)-(0+0))</f>
        <v>0</v>
      </c>
    </row>
    <row r="111" spans="1:9" ht="14" x14ac:dyDescent="0.3">
      <c r="A111" s="2" t="s">
        <v>17</v>
      </c>
      <c r="B111" s="3">
        <f>0</f>
        <v>0</v>
      </c>
      <c r="C111" s="3">
        <f>0</f>
        <v>0</v>
      </c>
      <c r="D111" s="3">
        <f>0</f>
        <v>0</v>
      </c>
      <c r="E111" s="3">
        <f>(0+0+0)</f>
        <v>0</v>
      </c>
      <c r="F111" s="3">
        <f>0</f>
        <v>0</v>
      </c>
      <c r="G111" s="3">
        <f>0</f>
        <v>0</v>
      </c>
      <c r="H111" s="3">
        <f>(0+0)</f>
        <v>0</v>
      </c>
      <c r="I111" s="3">
        <f>((0+0+0)-(0+0))</f>
        <v>0</v>
      </c>
    </row>
    <row r="112" spans="1:9" ht="14" x14ac:dyDescent="0.3">
      <c r="A112" s="2" t="s">
        <v>18</v>
      </c>
      <c r="B112" s="3">
        <f>567</f>
        <v>567</v>
      </c>
      <c r="C112" s="3">
        <f>0</f>
        <v>0</v>
      </c>
      <c r="D112" s="3">
        <f>0</f>
        <v>0</v>
      </c>
      <c r="E112" s="3">
        <f>(567+0+0)</f>
        <v>567</v>
      </c>
      <c r="F112" s="3">
        <f>0</f>
        <v>0</v>
      </c>
      <c r="G112" s="3">
        <f>453</f>
        <v>453</v>
      </c>
      <c r="H112" s="3">
        <f>(0+453)</f>
        <v>453</v>
      </c>
      <c r="I112" s="3">
        <f>((567+0+0)-(0+453))</f>
        <v>114</v>
      </c>
    </row>
    <row r="113" spans="1:9" ht="14" x14ac:dyDescent="0.3">
      <c r="A113" s="2" t="s">
        <v>19</v>
      </c>
      <c r="B113" s="3">
        <f>88310</f>
        <v>88310</v>
      </c>
      <c r="C113" s="3">
        <f>0</f>
        <v>0</v>
      </c>
      <c r="D113" s="3">
        <f>0</f>
        <v>0</v>
      </c>
      <c r="E113" s="3">
        <f>(88310+0+0)</f>
        <v>88310</v>
      </c>
      <c r="F113" s="3">
        <f>0</f>
        <v>0</v>
      </c>
      <c r="G113" s="3">
        <f>71054</f>
        <v>71054</v>
      </c>
      <c r="H113" s="3">
        <f>(0+71054)</f>
        <v>71054</v>
      </c>
      <c r="I113" s="3">
        <f>((88310+0+0)-(0+71054))</f>
        <v>17256</v>
      </c>
    </row>
    <row r="114" spans="1:9" ht="14" x14ac:dyDescent="0.3">
      <c r="A114" s="2" t="s">
        <v>20</v>
      </c>
      <c r="B114" s="3">
        <f>80636</f>
        <v>80636</v>
      </c>
      <c r="C114" s="3">
        <f>117</f>
        <v>117</v>
      </c>
      <c r="D114" s="3">
        <f>0</f>
        <v>0</v>
      </c>
      <c r="E114" s="3">
        <f>(80636+117+0)</f>
        <v>80753</v>
      </c>
      <c r="F114" s="3">
        <f>0</f>
        <v>0</v>
      </c>
      <c r="G114" s="3">
        <f>79246</f>
        <v>79246</v>
      </c>
      <c r="H114" s="3">
        <f>(0+79246)</f>
        <v>79246</v>
      </c>
      <c r="I114" s="3">
        <f>((80636+117+0)-(0+79246))</f>
        <v>1507</v>
      </c>
    </row>
    <row r="115" spans="1:9" ht="14" x14ac:dyDescent="0.3">
      <c r="A115" s="2" t="s">
        <v>21</v>
      </c>
      <c r="B115" s="3">
        <f>0</f>
        <v>0</v>
      </c>
      <c r="C115" s="3">
        <f>0</f>
        <v>0</v>
      </c>
      <c r="D115" s="3">
        <f>0</f>
        <v>0</v>
      </c>
      <c r="E115" s="3">
        <f>(0+0+0)</f>
        <v>0</v>
      </c>
      <c r="F115" s="3">
        <f>0</f>
        <v>0</v>
      </c>
      <c r="G115" s="3">
        <f>0</f>
        <v>0</v>
      </c>
      <c r="H115" s="3">
        <f>(0+0)</f>
        <v>0</v>
      </c>
      <c r="I115" s="3">
        <f>((0+0+0)-(0+0))</f>
        <v>0</v>
      </c>
    </row>
    <row r="116" spans="1:9" ht="14" x14ac:dyDescent="0.3">
      <c r="A116" s="2" t="s">
        <v>22</v>
      </c>
      <c r="B116" s="3">
        <f>1090614</f>
        <v>1090614</v>
      </c>
      <c r="C116" s="3">
        <f>0</f>
        <v>0</v>
      </c>
      <c r="D116" s="3">
        <f>0</f>
        <v>0</v>
      </c>
      <c r="E116" s="3">
        <f>(1090614+0+0)</f>
        <v>1090614</v>
      </c>
      <c r="F116" s="3">
        <f>601</f>
        <v>601</v>
      </c>
      <c r="G116" s="3">
        <f>1083997</f>
        <v>1083997</v>
      </c>
      <c r="H116" s="3">
        <f>(601+1083997)</f>
        <v>1084598</v>
      </c>
      <c r="I116" s="3">
        <f>((1090614+0+0)-(601+1083997))</f>
        <v>6016</v>
      </c>
    </row>
    <row r="117" spans="1:9" ht="14" x14ac:dyDescent="0.3">
      <c r="A117" s="2" t="s">
        <v>23</v>
      </c>
      <c r="B117" s="3">
        <f>9085</f>
        <v>9085</v>
      </c>
      <c r="C117" s="3">
        <f>69</f>
        <v>69</v>
      </c>
      <c r="D117" s="3">
        <f>0</f>
        <v>0</v>
      </c>
      <c r="E117" s="3">
        <f>(9085+69+0)</f>
        <v>9154</v>
      </c>
      <c r="F117" s="3">
        <f>0</f>
        <v>0</v>
      </c>
      <c r="G117" s="3">
        <f>8046</f>
        <v>8046</v>
      </c>
      <c r="H117" s="3">
        <f>(0+8046)</f>
        <v>8046</v>
      </c>
      <c r="I117" s="3">
        <f>((9085+69+0)-(0+8046))</f>
        <v>1108</v>
      </c>
    </row>
    <row r="118" spans="1:9" ht="14" x14ac:dyDescent="0.3">
      <c r="A118" s="2" t="s">
        <v>24</v>
      </c>
      <c r="B118" s="3">
        <f>29937</f>
        <v>29937</v>
      </c>
      <c r="C118" s="3">
        <f>0</f>
        <v>0</v>
      </c>
      <c r="D118" s="3">
        <f>0</f>
        <v>0</v>
      </c>
      <c r="E118" s="3">
        <f>(29937+0+0)</f>
        <v>29937</v>
      </c>
      <c r="F118" s="3">
        <f>0</f>
        <v>0</v>
      </c>
      <c r="G118" s="3">
        <f>27083</f>
        <v>27083</v>
      </c>
      <c r="H118" s="3">
        <f>(0+27083)</f>
        <v>27083</v>
      </c>
      <c r="I118" s="3">
        <f>((29937+0+0)-(0+27083))</f>
        <v>2854</v>
      </c>
    </row>
    <row r="119" spans="1:9" ht="14" x14ac:dyDescent="0.3">
      <c r="A119" s="2" t="s">
        <v>25</v>
      </c>
      <c r="B119" s="3">
        <f>(-247659)</f>
        <v>-247659</v>
      </c>
      <c r="C119" s="3">
        <f>0</f>
        <v>0</v>
      </c>
      <c r="D119" s="3">
        <f>0</f>
        <v>0</v>
      </c>
      <c r="E119" s="3">
        <f>((-247659)+0+0)</f>
        <v>-247659</v>
      </c>
      <c r="F119" s="3">
        <f>0</f>
        <v>0</v>
      </c>
      <c r="G119" s="3">
        <f>(-273378)</f>
        <v>-273378</v>
      </c>
      <c r="H119" s="3">
        <f>(0+(-273378))</f>
        <v>-273378</v>
      </c>
      <c r="I119" s="3">
        <f>(((-247659)+0+0)-(0+(-273378)))</f>
        <v>25719</v>
      </c>
    </row>
    <row r="120" spans="1:9" ht="14" x14ac:dyDescent="0.3">
      <c r="A120" s="2" t="s">
        <v>26</v>
      </c>
      <c r="B120" s="3">
        <f>230700</f>
        <v>230700</v>
      </c>
      <c r="C120" s="3">
        <f>88231</f>
        <v>88231</v>
      </c>
      <c r="D120" s="3">
        <f>0</f>
        <v>0</v>
      </c>
      <c r="E120" s="3">
        <f>(230700+88231+0)</f>
        <v>318931</v>
      </c>
      <c r="F120" s="3">
        <f>0</f>
        <v>0</v>
      </c>
      <c r="G120" s="3">
        <f>200</f>
        <v>200</v>
      </c>
      <c r="H120" s="3">
        <f>(0+200)</f>
        <v>200</v>
      </c>
      <c r="I120" s="3">
        <f>((230700+88231+0)-(0+200))</f>
        <v>318731</v>
      </c>
    </row>
    <row r="121" spans="1:9" ht="14" x14ac:dyDescent="0.3">
      <c r="A121" s="5" t="s">
        <v>32</v>
      </c>
      <c r="B121" s="5"/>
      <c r="C121" s="5"/>
      <c r="D121" s="5"/>
      <c r="E121" s="5"/>
      <c r="F121" s="5"/>
      <c r="G121" s="5"/>
      <c r="H121" s="5"/>
      <c r="I121" s="5"/>
    </row>
    <row r="122" spans="1:9" ht="14" x14ac:dyDescent="0.3">
      <c r="A122" s="4" t="s">
        <v>1</v>
      </c>
      <c r="B122" s="1" t="s">
        <v>2</v>
      </c>
      <c r="C122" s="1" t="s">
        <v>3</v>
      </c>
      <c r="D122" s="1" t="s">
        <v>4</v>
      </c>
      <c r="E122" s="1" t="s">
        <v>5</v>
      </c>
      <c r="F122" s="1" t="s">
        <v>6</v>
      </c>
      <c r="G122" s="1" t="s">
        <v>7</v>
      </c>
      <c r="H122" s="1" t="s">
        <v>8</v>
      </c>
      <c r="I122" s="1" t="s">
        <v>9</v>
      </c>
    </row>
    <row r="123" spans="1:9" ht="14" x14ac:dyDescent="0.3">
      <c r="A123" s="4"/>
      <c r="B123" s="1">
        <v>2023</v>
      </c>
      <c r="C123" s="1">
        <v>2023</v>
      </c>
      <c r="D123" s="1">
        <v>2023</v>
      </c>
      <c r="E123" s="1">
        <v>2023</v>
      </c>
      <c r="F123" s="1">
        <v>2023</v>
      </c>
      <c r="G123" s="1">
        <v>2023</v>
      </c>
      <c r="H123" s="1">
        <v>2023</v>
      </c>
      <c r="I123" s="1">
        <v>2023</v>
      </c>
    </row>
    <row r="124" spans="1:9" ht="14" x14ac:dyDescent="0.3">
      <c r="A124" s="2" t="s">
        <v>10</v>
      </c>
      <c r="B124" s="3">
        <f>8713233</f>
        <v>8713233</v>
      </c>
      <c r="C124" s="3">
        <f>0</f>
        <v>0</v>
      </c>
      <c r="D124" s="3">
        <f>0</f>
        <v>0</v>
      </c>
      <c r="E124" s="3">
        <f>(8713233+0+0)</f>
        <v>8713233</v>
      </c>
      <c r="F124" s="3">
        <f>0</f>
        <v>0</v>
      </c>
      <c r="G124" s="3">
        <f>8622146</f>
        <v>8622146</v>
      </c>
      <c r="H124" s="3">
        <f>(0+8622146)</f>
        <v>8622146</v>
      </c>
      <c r="I124" s="3">
        <f>((8713233+0+0)-(0+8622146))</f>
        <v>91087</v>
      </c>
    </row>
    <row r="125" spans="1:9" ht="14" x14ac:dyDescent="0.3">
      <c r="A125" s="2" t="s">
        <v>11</v>
      </c>
      <c r="B125" s="3">
        <f>0</f>
        <v>0</v>
      </c>
      <c r="C125" s="3">
        <f>0</f>
        <v>0</v>
      </c>
      <c r="D125" s="3">
        <f>0</f>
        <v>0</v>
      </c>
      <c r="E125" s="3">
        <f>(0+0+0)</f>
        <v>0</v>
      </c>
      <c r="F125" s="3">
        <f>0</f>
        <v>0</v>
      </c>
      <c r="G125" s="3">
        <f>0</f>
        <v>0</v>
      </c>
      <c r="H125" s="3">
        <f>(0+0)</f>
        <v>0</v>
      </c>
      <c r="I125" s="3">
        <f>((0+0+0)-(0+0))</f>
        <v>0</v>
      </c>
    </row>
    <row r="126" spans="1:9" ht="14" x14ac:dyDescent="0.3">
      <c r="A126" s="2" t="s">
        <v>12</v>
      </c>
      <c r="B126" s="3">
        <f>323677</f>
        <v>323677</v>
      </c>
      <c r="C126" s="3">
        <f>40501</f>
        <v>40501</v>
      </c>
      <c r="D126" s="3">
        <f>0</f>
        <v>0</v>
      </c>
      <c r="E126" s="3">
        <f>(323677+40501+0)</f>
        <v>364178</v>
      </c>
      <c r="F126" s="3">
        <f>42815</f>
        <v>42815</v>
      </c>
      <c r="G126" s="3">
        <f>304486</f>
        <v>304486</v>
      </c>
      <c r="H126" s="3">
        <f>(42815+304486)</f>
        <v>347301</v>
      </c>
      <c r="I126" s="3">
        <f>((323677+40501+0)-(42815+304486))</f>
        <v>16877</v>
      </c>
    </row>
    <row r="127" spans="1:9" ht="14" x14ac:dyDescent="0.3">
      <c r="A127" s="2" t="s">
        <v>13</v>
      </c>
      <c r="B127" s="3">
        <f>1479531</f>
        <v>1479531</v>
      </c>
      <c r="C127" s="3">
        <f>131926</f>
        <v>131926</v>
      </c>
      <c r="D127" s="3">
        <f>0</f>
        <v>0</v>
      </c>
      <c r="E127" s="3">
        <f>(1479531+131926+0)</f>
        <v>1611457</v>
      </c>
      <c r="F127" s="3">
        <f>117470</f>
        <v>117470</v>
      </c>
      <c r="G127" s="3">
        <f>353255</f>
        <v>353255</v>
      </c>
      <c r="H127" s="3">
        <f>(117470+353255)</f>
        <v>470725</v>
      </c>
      <c r="I127" s="3">
        <f>((1479531+131926+0)-(117470+353255))</f>
        <v>1140732</v>
      </c>
    </row>
    <row r="128" spans="1:9" ht="14" x14ac:dyDescent="0.3">
      <c r="A128" s="2" t="s">
        <v>14</v>
      </c>
      <c r="B128" s="3">
        <f>33490</f>
        <v>33490</v>
      </c>
      <c r="C128" s="3">
        <f>0</f>
        <v>0</v>
      </c>
      <c r="D128" s="3">
        <f>0</f>
        <v>0</v>
      </c>
      <c r="E128" s="3">
        <f>(33490+0+0)</f>
        <v>33490</v>
      </c>
      <c r="F128" s="3">
        <f>0</f>
        <v>0</v>
      </c>
      <c r="G128" s="3">
        <f>34101</f>
        <v>34101</v>
      </c>
      <c r="H128" s="3">
        <f>(0+34101)</f>
        <v>34101</v>
      </c>
      <c r="I128" s="3">
        <f>((33490+0+0)-(0+34101))</f>
        <v>-611</v>
      </c>
    </row>
    <row r="129" spans="1:9" ht="14" x14ac:dyDescent="0.3">
      <c r="A129" s="2" t="s">
        <v>15</v>
      </c>
      <c r="B129" s="3">
        <f>2146134</f>
        <v>2146134</v>
      </c>
      <c r="C129" s="3">
        <f>0</f>
        <v>0</v>
      </c>
      <c r="D129" s="3">
        <f>0</f>
        <v>0</v>
      </c>
      <c r="E129" s="3">
        <f>(2146134+0+0)</f>
        <v>2146134</v>
      </c>
      <c r="F129" s="3">
        <f>19785</f>
        <v>19785</v>
      </c>
      <c r="G129" s="3">
        <f>2068977</f>
        <v>2068977</v>
      </c>
      <c r="H129" s="3">
        <f>(19785+2068977)</f>
        <v>2088762</v>
      </c>
      <c r="I129" s="3">
        <f>((2146134+0+0)-(19785+2068977))</f>
        <v>57372</v>
      </c>
    </row>
    <row r="130" spans="1:9" ht="14" x14ac:dyDescent="0.3">
      <c r="A130" s="2" t="s">
        <v>16</v>
      </c>
      <c r="B130" s="3">
        <f>6333092</f>
        <v>6333092</v>
      </c>
      <c r="C130" s="3">
        <f>0</f>
        <v>0</v>
      </c>
      <c r="D130" s="3">
        <f>0</f>
        <v>0</v>
      </c>
      <c r="E130" s="3">
        <f>(6333092+0+0)</f>
        <v>6333092</v>
      </c>
      <c r="F130" s="3">
        <f>632889</f>
        <v>632889</v>
      </c>
      <c r="G130" s="3">
        <f>5430816</f>
        <v>5430816</v>
      </c>
      <c r="H130" s="3">
        <f>(632889+5430816)</f>
        <v>6063705</v>
      </c>
      <c r="I130" s="3">
        <f>((6333092+0+0)-(632889+5430816))</f>
        <v>269387</v>
      </c>
    </row>
    <row r="131" spans="1:9" ht="14" x14ac:dyDescent="0.3">
      <c r="A131" s="2" t="s">
        <v>17</v>
      </c>
      <c r="B131" s="3">
        <f>32728</f>
        <v>32728</v>
      </c>
      <c r="C131" s="3">
        <f>85496</f>
        <v>85496</v>
      </c>
      <c r="D131" s="3">
        <f>0</f>
        <v>0</v>
      </c>
      <c r="E131" s="3">
        <f>(32728+85496+0)</f>
        <v>118224</v>
      </c>
      <c r="F131" s="3">
        <f>0</f>
        <v>0</v>
      </c>
      <c r="G131" s="3">
        <f>0</f>
        <v>0</v>
      </c>
      <c r="H131" s="3">
        <f>(0+0)</f>
        <v>0</v>
      </c>
      <c r="I131" s="3">
        <f>((32728+85496+0)-(0+0))</f>
        <v>118224</v>
      </c>
    </row>
    <row r="132" spans="1:9" ht="14" x14ac:dyDescent="0.3">
      <c r="A132" s="2" t="s">
        <v>18</v>
      </c>
      <c r="B132" s="3">
        <f>19655</f>
        <v>19655</v>
      </c>
      <c r="C132" s="3">
        <f>11788</f>
        <v>11788</v>
      </c>
      <c r="D132" s="3">
        <f>0</f>
        <v>0</v>
      </c>
      <c r="E132" s="3">
        <f>(19655+11788+0)</f>
        <v>31443</v>
      </c>
      <c r="F132" s="3">
        <f>562</f>
        <v>562</v>
      </c>
      <c r="G132" s="3">
        <f>24953</f>
        <v>24953</v>
      </c>
      <c r="H132" s="3">
        <f>(562+24953)</f>
        <v>25515</v>
      </c>
      <c r="I132" s="3">
        <f>((19655+11788+0)-(562+24953))</f>
        <v>5928</v>
      </c>
    </row>
    <row r="133" spans="1:9" ht="14" x14ac:dyDescent="0.3">
      <c r="A133" s="2" t="s">
        <v>19</v>
      </c>
      <c r="B133" s="3">
        <f>265084</f>
        <v>265084</v>
      </c>
      <c r="C133" s="3">
        <f>22570</f>
        <v>22570</v>
      </c>
      <c r="D133" s="3">
        <f>0</f>
        <v>0</v>
      </c>
      <c r="E133" s="3">
        <f>(265084+22570+0)</f>
        <v>287654</v>
      </c>
      <c r="F133" s="3">
        <f>22554</f>
        <v>22554</v>
      </c>
      <c r="G133" s="3">
        <f>241484</f>
        <v>241484</v>
      </c>
      <c r="H133" s="3">
        <f>(22554+241484)</f>
        <v>264038</v>
      </c>
      <c r="I133" s="3">
        <f>((265084+22570+0)-(22554+241484))</f>
        <v>23616</v>
      </c>
    </row>
    <row r="134" spans="1:9" ht="14" x14ac:dyDescent="0.3">
      <c r="A134" s="2" t="s">
        <v>20</v>
      </c>
      <c r="B134" s="3">
        <f>328589</f>
        <v>328589</v>
      </c>
      <c r="C134" s="3">
        <f>11934</f>
        <v>11934</v>
      </c>
      <c r="D134" s="3">
        <f>0</f>
        <v>0</v>
      </c>
      <c r="E134" s="3">
        <f>(328589+11934+0)</f>
        <v>340523</v>
      </c>
      <c r="F134" s="3">
        <f>237</f>
        <v>237</v>
      </c>
      <c r="G134" s="3">
        <f>298457</f>
        <v>298457</v>
      </c>
      <c r="H134" s="3">
        <f>(237+298457)</f>
        <v>298694</v>
      </c>
      <c r="I134" s="3">
        <f>((328589+11934+0)-(237+298457))</f>
        <v>41829</v>
      </c>
    </row>
    <row r="135" spans="1:9" ht="14" x14ac:dyDescent="0.3">
      <c r="A135" s="2" t="s">
        <v>21</v>
      </c>
      <c r="B135" s="3">
        <f>0</f>
        <v>0</v>
      </c>
      <c r="C135" s="3">
        <f>0</f>
        <v>0</v>
      </c>
      <c r="D135" s="3">
        <f>0</f>
        <v>0</v>
      </c>
      <c r="E135" s="3">
        <f>(0+0+0)</f>
        <v>0</v>
      </c>
      <c r="F135" s="3">
        <f>0</f>
        <v>0</v>
      </c>
      <c r="G135" s="3">
        <f>0</f>
        <v>0</v>
      </c>
      <c r="H135" s="3">
        <f>(0+0)</f>
        <v>0</v>
      </c>
      <c r="I135" s="3">
        <f>((0+0+0)-(0+0))</f>
        <v>0</v>
      </c>
    </row>
    <row r="136" spans="1:9" ht="14" x14ac:dyDescent="0.3">
      <c r="A136" s="2" t="s">
        <v>22</v>
      </c>
      <c r="B136" s="3">
        <f>6161183</f>
        <v>6161183</v>
      </c>
      <c r="C136" s="3">
        <f>1029</f>
        <v>1029</v>
      </c>
      <c r="D136" s="3">
        <f>0</f>
        <v>0</v>
      </c>
      <c r="E136" s="3">
        <f>(6161183+1029+0)</f>
        <v>6162212</v>
      </c>
      <c r="F136" s="3">
        <f>55335</f>
        <v>55335</v>
      </c>
      <c r="G136" s="3">
        <f>5994241</f>
        <v>5994241</v>
      </c>
      <c r="H136" s="3">
        <f>(55335+5994241)</f>
        <v>6049576</v>
      </c>
      <c r="I136" s="3">
        <f>((6161183+1029+0)-(55335+5994241))</f>
        <v>112636</v>
      </c>
    </row>
    <row r="137" spans="1:9" ht="14" x14ac:dyDescent="0.3">
      <c r="A137" s="2" t="s">
        <v>23</v>
      </c>
      <c r="B137" s="3">
        <f>242173</f>
        <v>242173</v>
      </c>
      <c r="C137" s="3">
        <f>37958</f>
        <v>37958</v>
      </c>
      <c r="D137" s="3">
        <f>0</f>
        <v>0</v>
      </c>
      <c r="E137" s="3">
        <f>(242173+37958+0)</f>
        <v>280131</v>
      </c>
      <c r="F137" s="3">
        <f>0</f>
        <v>0</v>
      </c>
      <c r="G137" s="3">
        <f>193384</f>
        <v>193384</v>
      </c>
      <c r="H137" s="3">
        <f>(0+193384)</f>
        <v>193384</v>
      </c>
      <c r="I137" s="3">
        <f>((242173+37958+0)-(0+193384))</f>
        <v>86747</v>
      </c>
    </row>
    <row r="138" spans="1:9" ht="14" x14ac:dyDescent="0.3">
      <c r="A138" s="2" t="s">
        <v>24</v>
      </c>
      <c r="B138" s="3">
        <f>20712</f>
        <v>20712</v>
      </c>
      <c r="C138" s="3">
        <f>6532</f>
        <v>6532</v>
      </c>
      <c r="D138" s="3">
        <f>0</f>
        <v>0</v>
      </c>
      <c r="E138" s="3">
        <f>(20712+6532+0)</f>
        <v>27244</v>
      </c>
      <c r="F138" s="3">
        <f>50</f>
        <v>50</v>
      </c>
      <c r="G138" s="3">
        <f>25761</f>
        <v>25761</v>
      </c>
      <c r="H138" s="3">
        <f>(50+25761)</f>
        <v>25811</v>
      </c>
      <c r="I138" s="3">
        <f>((20712+6532+0)-(50+25761))</f>
        <v>1433</v>
      </c>
    </row>
    <row r="139" spans="1:9" ht="14" x14ac:dyDescent="0.3">
      <c r="A139" s="2" t="s">
        <v>25</v>
      </c>
      <c r="B139" s="3">
        <f>739864</f>
        <v>739864</v>
      </c>
      <c r="C139" s="3">
        <f>0</f>
        <v>0</v>
      </c>
      <c r="D139" s="3">
        <f>0</f>
        <v>0</v>
      </c>
      <c r="E139" s="3">
        <f>(739864+0+0)</f>
        <v>739864</v>
      </c>
      <c r="F139" s="3">
        <f>85272</f>
        <v>85272</v>
      </c>
      <c r="G139" s="3">
        <f>12316</f>
        <v>12316</v>
      </c>
      <c r="H139" s="3">
        <f>(85272+12316)</f>
        <v>97588</v>
      </c>
      <c r="I139" s="3">
        <f>((739864+0+0)-(85272+12316))</f>
        <v>642276</v>
      </c>
    </row>
    <row r="140" spans="1:9" ht="14" x14ac:dyDescent="0.3">
      <c r="A140" s="2" t="s">
        <v>26</v>
      </c>
      <c r="B140" s="3">
        <f>333534</f>
        <v>333534</v>
      </c>
      <c r="C140" s="3">
        <f>140157</f>
        <v>140157</v>
      </c>
      <c r="D140" s="3">
        <f>0</f>
        <v>0</v>
      </c>
      <c r="E140" s="3">
        <f>(333534+140157+0)</f>
        <v>473691</v>
      </c>
      <c r="F140" s="3">
        <f>0</f>
        <v>0</v>
      </c>
      <c r="G140" s="3">
        <f>418806</f>
        <v>418806</v>
      </c>
      <c r="H140" s="3">
        <f>(0+418806)</f>
        <v>418806</v>
      </c>
      <c r="I140" s="3">
        <f>((333534+140157+0)-(0+418806))</f>
        <v>54885</v>
      </c>
    </row>
    <row r="141" spans="1:9" ht="14" x14ac:dyDescent="0.3">
      <c r="A141" s="5" t="s">
        <v>33</v>
      </c>
      <c r="B141" s="5"/>
      <c r="C141" s="5"/>
      <c r="D141" s="5"/>
      <c r="E141" s="5"/>
      <c r="F141" s="5"/>
      <c r="G141" s="5"/>
      <c r="H141" s="5"/>
      <c r="I141" s="5"/>
    </row>
    <row r="142" spans="1:9" ht="14" x14ac:dyDescent="0.3">
      <c r="A142" s="4" t="s">
        <v>1</v>
      </c>
      <c r="B142" s="1" t="s">
        <v>2</v>
      </c>
      <c r="C142" s="1" t="s">
        <v>3</v>
      </c>
      <c r="D142" s="1" t="s">
        <v>4</v>
      </c>
      <c r="E142" s="1" t="s">
        <v>5</v>
      </c>
      <c r="F142" s="1" t="s">
        <v>6</v>
      </c>
      <c r="G142" s="1" t="s">
        <v>7</v>
      </c>
      <c r="H142" s="1" t="s">
        <v>8</v>
      </c>
      <c r="I142" s="1" t="s">
        <v>9</v>
      </c>
    </row>
    <row r="143" spans="1:9" ht="14" x14ac:dyDescent="0.3">
      <c r="A143" s="4"/>
      <c r="B143" s="1">
        <v>2023</v>
      </c>
      <c r="C143" s="1">
        <v>2023</v>
      </c>
      <c r="D143" s="1">
        <v>2023</v>
      </c>
      <c r="E143" s="1">
        <v>2023</v>
      </c>
      <c r="F143" s="1">
        <v>2023</v>
      </c>
      <c r="G143" s="1">
        <v>2023</v>
      </c>
      <c r="H143" s="1">
        <v>2023</v>
      </c>
      <c r="I143" s="1">
        <v>2023</v>
      </c>
    </row>
    <row r="144" spans="1:9" ht="14" x14ac:dyDescent="0.3">
      <c r="A144" s="2" t="s">
        <v>10</v>
      </c>
      <c r="B144" s="3">
        <f>2779935</f>
        <v>2779935</v>
      </c>
      <c r="C144" s="3">
        <f>0</f>
        <v>0</v>
      </c>
      <c r="D144" s="3">
        <f>0</f>
        <v>0</v>
      </c>
      <c r="E144" s="3">
        <f>(2779935+0+0)</f>
        <v>2779935</v>
      </c>
      <c r="F144" s="3">
        <f>0</f>
        <v>0</v>
      </c>
      <c r="G144" s="3">
        <f>618464</f>
        <v>618464</v>
      </c>
      <c r="H144" s="3">
        <f>(0+618464)</f>
        <v>618464</v>
      </c>
      <c r="I144" s="3">
        <f>((2779935+0+0)-(0+618464))</f>
        <v>2161471</v>
      </c>
    </row>
    <row r="145" spans="1:9" ht="14" x14ac:dyDescent="0.3">
      <c r="A145" s="2" t="s">
        <v>11</v>
      </c>
      <c r="B145" s="3">
        <f>0</f>
        <v>0</v>
      </c>
      <c r="C145" s="3">
        <f>0</f>
        <v>0</v>
      </c>
      <c r="D145" s="3">
        <f>0</f>
        <v>0</v>
      </c>
      <c r="E145" s="3">
        <f>(0+0+0)</f>
        <v>0</v>
      </c>
      <c r="F145" s="3">
        <f>0</f>
        <v>0</v>
      </c>
      <c r="G145" s="3">
        <f>0</f>
        <v>0</v>
      </c>
      <c r="H145" s="3">
        <f>(0+0)</f>
        <v>0</v>
      </c>
      <c r="I145" s="3">
        <f>((0+0+0)-(0+0))</f>
        <v>0</v>
      </c>
    </row>
    <row r="146" spans="1:9" ht="14" x14ac:dyDescent="0.3">
      <c r="A146" s="2" t="s">
        <v>12</v>
      </c>
      <c r="B146" s="3">
        <f>6207474</f>
        <v>6207474</v>
      </c>
      <c r="C146" s="3">
        <f>0</f>
        <v>0</v>
      </c>
      <c r="D146" s="3">
        <f>0</f>
        <v>0</v>
      </c>
      <c r="E146" s="3">
        <f>(6207474+0+0)</f>
        <v>6207474</v>
      </c>
      <c r="F146" s="3">
        <f>0</f>
        <v>0</v>
      </c>
      <c r="G146" s="3">
        <f>236190</f>
        <v>236190</v>
      </c>
      <c r="H146" s="3">
        <f>(0+236190)</f>
        <v>236190</v>
      </c>
      <c r="I146" s="3">
        <f>((6207474+0+0)-(0+236190))</f>
        <v>5971284</v>
      </c>
    </row>
    <row r="147" spans="1:9" ht="14" x14ac:dyDescent="0.3">
      <c r="A147" s="2" t="s">
        <v>13</v>
      </c>
      <c r="B147" s="3">
        <f>1183480</f>
        <v>1183480</v>
      </c>
      <c r="C147" s="3">
        <f>0</f>
        <v>0</v>
      </c>
      <c r="D147" s="3">
        <f>0</f>
        <v>0</v>
      </c>
      <c r="E147" s="3">
        <f>(1183480+0+0)</f>
        <v>1183480</v>
      </c>
      <c r="F147" s="3">
        <f>0</f>
        <v>0</v>
      </c>
      <c r="G147" s="3">
        <f>0</f>
        <v>0</v>
      </c>
      <c r="H147" s="3">
        <f>(0+0)</f>
        <v>0</v>
      </c>
      <c r="I147" s="3">
        <f>((1183480+0+0)-(0+0))</f>
        <v>1183480</v>
      </c>
    </row>
    <row r="148" spans="1:9" ht="14" x14ac:dyDescent="0.3">
      <c r="A148" s="2" t="s">
        <v>14</v>
      </c>
      <c r="B148" s="3">
        <f>3314692</f>
        <v>3314692</v>
      </c>
      <c r="C148" s="3">
        <f>0</f>
        <v>0</v>
      </c>
      <c r="D148" s="3">
        <f>0</f>
        <v>0</v>
      </c>
      <c r="E148" s="3">
        <f>(3314692+0+0)</f>
        <v>3314692</v>
      </c>
      <c r="F148" s="3">
        <f>5964</f>
        <v>5964</v>
      </c>
      <c r="G148" s="3">
        <f>18048</f>
        <v>18048</v>
      </c>
      <c r="H148" s="3">
        <f>(5964+18048)</f>
        <v>24012</v>
      </c>
      <c r="I148" s="3">
        <f>((3314692+0+0)-(5964+18048))</f>
        <v>3290680</v>
      </c>
    </row>
    <row r="149" spans="1:9" ht="14" x14ac:dyDescent="0.3">
      <c r="A149" s="2" t="s">
        <v>15</v>
      </c>
      <c r="B149" s="3">
        <f>3616445</f>
        <v>3616445</v>
      </c>
      <c r="C149" s="3">
        <f>0</f>
        <v>0</v>
      </c>
      <c r="D149" s="3">
        <f>0</f>
        <v>0</v>
      </c>
      <c r="E149" s="3">
        <f>(3616445+0+0)</f>
        <v>3616445</v>
      </c>
      <c r="F149" s="3">
        <f>0</f>
        <v>0</v>
      </c>
      <c r="G149" s="3">
        <f>0</f>
        <v>0</v>
      </c>
      <c r="H149" s="3">
        <f>(0+0)</f>
        <v>0</v>
      </c>
      <c r="I149" s="3">
        <f>((3616445+0+0)-(0+0))</f>
        <v>3616445</v>
      </c>
    </row>
    <row r="150" spans="1:9" ht="14" x14ac:dyDescent="0.3">
      <c r="A150" s="2" t="s">
        <v>16</v>
      </c>
      <c r="B150" s="3">
        <f>2855225</f>
        <v>2855225</v>
      </c>
      <c r="C150" s="3">
        <f>0</f>
        <v>0</v>
      </c>
      <c r="D150" s="3">
        <f>0</f>
        <v>0</v>
      </c>
      <c r="E150" s="3">
        <f>(2855225+0+0)</f>
        <v>2855225</v>
      </c>
      <c r="F150" s="3">
        <f>16301</f>
        <v>16301</v>
      </c>
      <c r="G150" s="3">
        <f>139882</f>
        <v>139882</v>
      </c>
      <c r="H150" s="3">
        <f>(16301+139882)</f>
        <v>156183</v>
      </c>
      <c r="I150" s="3">
        <f>((2855225+0+0)-(16301+139882))</f>
        <v>2699042</v>
      </c>
    </row>
    <row r="151" spans="1:9" ht="14" x14ac:dyDescent="0.3">
      <c r="A151" s="2" t="s">
        <v>17</v>
      </c>
      <c r="B151" s="3">
        <f>273528</f>
        <v>273528</v>
      </c>
      <c r="C151" s="3">
        <f>0</f>
        <v>0</v>
      </c>
      <c r="D151" s="3">
        <f>0</f>
        <v>0</v>
      </c>
      <c r="E151" s="3">
        <f>(273528+0+0)</f>
        <v>273528</v>
      </c>
      <c r="F151" s="3">
        <f>0</f>
        <v>0</v>
      </c>
      <c r="G151" s="3">
        <f>0</f>
        <v>0</v>
      </c>
      <c r="H151" s="3">
        <f>(0+0)</f>
        <v>0</v>
      </c>
      <c r="I151" s="3">
        <f>((273528+0+0)-(0+0))</f>
        <v>273528</v>
      </c>
    </row>
    <row r="152" spans="1:9" ht="14" x14ac:dyDescent="0.3">
      <c r="A152" s="2" t="s">
        <v>18</v>
      </c>
      <c r="B152" s="3">
        <f>298035</f>
        <v>298035</v>
      </c>
      <c r="C152" s="3">
        <f>0</f>
        <v>0</v>
      </c>
      <c r="D152" s="3">
        <f>0</f>
        <v>0</v>
      </c>
      <c r="E152" s="3">
        <f>(298035+0+0)</f>
        <v>298035</v>
      </c>
      <c r="F152" s="3">
        <f>0</f>
        <v>0</v>
      </c>
      <c r="G152" s="3">
        <f>24616</f>
        <v>24616</v>
      </c>
      <c r="H152" s="3">
        <f>(0+24616)</f>
        <v>24616</v>
      </c>
      <c r="I152" s="3">
        <f>((298035+0+0)-(0+24616))</f>
        <v>273419</v>
      </c>
    </row>
    <row r="153" spans="1:9" ht="14" x14ac:dyDescent="0.3">
      <c r="A153" s="2" t="s">
        <v>19</v>
      </c>
      <c r="B153" s="3">
        <f>2138377</f>
        <v>2138377</v>
      </c>
      <c r="C153" s="3">
        <f>0</f>
        <v>0</v>
      </c>
      <c r="D153" s="3">
        <f>0</f>
        <v>0</v>
      </c>
      <c r="E153" s="3">
        <f>(2138377+0+0)</f>
        <v>2138377</v>
      </c>
      <c r="F153" s="3">
        <f>0</f>
        <v>0</v>
      </c>
      <c r="G153" s="3">
        <f>655899</f>
        <v>655899</v>
      </c>
      <c r="H153" s="3">
        <f>(0+655899)</f>
        <v>655899</v>
      </c>
      <c r="I153" s="3">
        <f>((2138377+0+0)-(0+655899))</f>
        <v>1482478</v>
      </c>
    </row>
    <row r="154" spans="1:9" ht="14" x14ac:dyDescent="0.3">
      <c r="A154" s="2" t="s">
        <v>20</v>
      </c>
      <c r="B154" s="3">
        <f>115678</f>
        <v>115678</v>
      </c>
      <c r="C154" s="3">
        <f>0</f>
        <v>0</v>
      </c>
      <c r="D154" s="3">
        <f>0</f>
        <v>0</v>
      </c>
      <c r="E154" s="3">
        <f>(115678+0+0)</f>
        <v>115678</v>
      </c>
      <c r="F154" s="3">
        <f>0</f>
        <v>0</v>
      </c>
      <c r="G154" s="3">
        <f>10175</f>
        <v>10175</v>
      </c>
      <c r="H154" s="3">
        <f>(0+10175)</f>
        <v>10175</v>
      </c>
      <c r="I154" s="3">
        <f>((115678+0+0)-(0+10175))</f>
        <v>105503</v>
      </c>
    </row>
    <row r="155" spans="1:9" ht="14" x14ac:dyDescent="0.3">
      <c r="A155" s="2" t="s">
        <v>21</v>
      </c>
      <c r="B155" s="3">
        <f>0</f>
        <v>0</v>
      </c>
      <c r="C155" s="3">
        <f>0</f>
        <v>0</v>
      </c>
      <c r="D155" s="3">
        <f>0</f>
        <v>0</v>
      </c>
      <c r="E155" s="3">
        <f>(0+0+0)</f>
        <v>0</v>
      </c>
      <c r="F155" s="3">
        <f>0</f>
        <v>0</v>
      </c>
      <c r="G155" s="3">
        <f>0</f>
        <v>0</v>
      </c>
      <c r="H155" s="3">
        <f>(0+0)</f>
        <v>0</v>
      </c>
      <c r="I155" s="3">
        <f>((0+0+0)-(0+0))</f>
        <v>0</v>
      </c>
    </row>
    <row r="156" spans="1:9" ht="14" x14ac:dyDescent="0.3">
      <c r="A156" s="2" t="s">
        <v>22</v>
      </c>
      <c r="B156" s="3">
        <f>7855520</f>
        <v>7855520</v>
      </c>
      <c r="C156" s="3">
        <f>0</f>
        <v>0</v>
      </c>
      <c r="D156" s="3">
        <f>0</f>
        <v>0</v>
      </c>
      <c r="E156" s="3">
        <f>(7855520+0+0)</f>
        <v>7855520</v>
      </c>
      <c r="F156" s="3">
        <f>0</f>
        <v>0</v>
      </c>
      <c r="G156" s="3">
        <f>73401</f>
        <v>73401</v>
      </c>
      <c r="H156" s="3">
        <f>(0+73401)</f>
        <v>73401</v>
      </c>
      <c r="I156" s="3">
        <f>((7855520+0+0)-(0+73401))</f>
        <v>7782119</v>
      </c>
    </row>
    <row r="157" spans="1:9" ht="14" x14ac:dyDescent="0.3">
      <c r="A157" s="2" t="s">
        <v>23</v>
      </c>
      <c r="B157" s="3">
        <f>144122</f>
        <v>144122</v>
      </c>
      <c r="C157" s="3">
        <f>0</f>
        <v>0</v>
      </c>
      <c r="D157" s="3">
        <f>0</f>
        <v>0</v>
      </c>
      <c r="E157" s="3">
        <f>(144122+0+0)</f>
        <v>144122</v>
      </c>
      <c r="F157" s="3">
        <f>0</f>
        <v>0</v>
      </c>
      <c r="G157" s="3">
        <f>125326</f>
        <v>125326</v>
      </c>
      <c r="H157" s="3">
        <f>(0+125326)</f>
        <v>125326</v>
      </c>
      <c r="I157" s="3">
        <f>((144122+0+0)-(0+125326))</f>
        <v>18796</v>
      </c>
    </row>
    <row r="158" spans="1:9" ht="14" x14ac:dyDescent="0.3">
      <c r="A158" s="2" t="s">
        <v>24</v>
      </c>
      <c r="B158" s="3">
        <f>2933747</f>
        <v>2933747</v>
      </c>
      <c r="C158" s="3">
        <f>0</f>
        <v>0</v>
      </c>
      <c r="D158" s="3">
        <f>0</f>
        <v>0</v>
      </c>
      <c r="E158" s="3">
        <f>(2933747+0+0)</f>
        <v>2933747</v>
      </c>
      <c r="F158" s="3">
        <f>0</f>
        <v>0</v>
      </c>
      <c r="G158" s="3">
        <f>1002499</f>
        <v>1002499</v>
      </c>
      <c r="H158" s="3">
        <f>(0+1002499)</f>
        <v>1002499</v>
      </c>
      <c r="I158" s="3">
        <f>((2933747+0+0)-(0+1002499))</f>
        <v>1931248</v>
      </c>
    </row>
    <row r="159" spans="1:9" ht="14" x14ac:dyDescent="0.3">
      <c r="A159" s="2" t="s">
        <v>25</v>
      </c>
      <c r="B159" s="3">
        <f>0</f>
        <v>0</v>
      </c>
      <c r="C159" s="3">
        <f>0</f>
        <v>0</v>
      </c>
      <c r="D159" s="3">
        <f>0</f>
        <v>0</v>
      </c>
      <c r="E159" s="3">
        <f>(0+0+0)</f>
        <v>0</v>
      </c>
      <c r="F159" s="3">
        <f>0</f>
        <v>0</v>
      </c>
      <c r="G159" s="3">
        <f>0</f>
        <v>0</v>
      </c>
      <c r="H159" s="3">
        <f>(0+0)</f>
        <v>0</v>
      </c>
      <c r="I159" s="3">
        <f>((0+0+0)-(0+0))</f>
        <v>0</v>
      </c>
    </row>
    <row r="160" spans="1:9" ht="14" x14ac:dyDescent="0.3">
      <c r="A160" s="2" t="s">
        <v>26</v>
      </c>
      <c r="B160" s="3">
        <f>4053252</f>
        <v>4053252</v>
      </c>
      <c r="C160" s="3">
        <f>0</f>
        <v>0</v>
      </c>
      <c r="D160" s="3">
        <f>0</f>
        <v>0</v>
      </c>
      <c r="E160" s="3">
        <f>(4053252+0+0)</f>
        <v>4053252</v>
      </c>
      <c r="F160" s="3">
        <f>0</f>
        <v>0</v>
      </c>
      <c r="G160" s="3">
        <f>0</f>
        <v>0</v>
      </c>
      <c r="H160" s="3">
        <f>(0+0)</f>
        <v>0</v>
      </c>
      <c r="I160" s="3">
        <f>((4053252+0+0)-(0+0))</f>
        <v>4053252</v>
      </c>
    </row>
    <row r="161" spans="1:9" ht="14" x14ac:dyDescent="0.3">
      <c r="A161" s="5" t="s">
        <v>34</v>
      </c>
      <c r="B161" s="5"/>
      <c r="C161" s="5"/>
      <c r="D161" s="5"/>
      <c r="E161" s="5"/>
      <c r="F161" s="5"/>
      <c r="G161" s="5"/>
      <c r="H161" s="5"/>
      <c r="I161" s="5"/>
    </row>
    <row r="162" spans="1:9" ht="14" x14ac:dyDescent="0.3">
      <c r="A162" s="4" t="s">
        <v>1</v>
      </c>
      <c r="B162" s="1" t="s">
        <v>2</v>
      </c>
      <c r="C162" s="1" t="s">
        <v>3</v>
      </c>
      <c r="D162" s="1" t="s">
        <v>4</v>
      </c>
      <c r="E162" s="1" t="s">
        <v>5</v>
      </c>
      <c r="F162" s="1" t="s">
        <v>6</v>
      </c>
      <c r="G162" s="1" t="s">
        <v>7</v>
      </c>
      <c r="H162" s="1" t="s">
        <v>8</v>
      </c>
      <c r="I162" s="1" t="s">
        <v>9</v>
      </c>
    </row>
    <row r="163" spans="1:9" ht="14" x14ac:dyDescent="0.3">
      <c r="A163" s="4"/>
      <c r="B163" s="1">
        <v>2023</v>
      </c>
      <c r="C163" s="1">
        <v>2023</v>
      </c>
      <c r="D163" s="1">
        <v>2023</v>
      </c>
      <c r="E163" s="1">
        <v>2023</v>
      </c>
      <c r="F163" s="1">
        <v>2023</v>
      </c>
      <c r="G163" s="1">
        <v>2023</v>
      </c>
      <c r="H163" s="1">
        <v>2023</v>
      </c>
      <c r="I163" s="1">
        <v>2023</v>
      </c>
    </row>
    <row r="164" spans="1:9" ht="14" x14ac:dyDescent="0.3">
      <c r="A164" s="2" t="s">
        <v>10</v>
      </c>
      <c r="B164" s="3">
        <f>2273472</f>
        <v>2273472</v>
      </c>
      <c r="C164" s="3">
        <f>0</f>
        <v>0</v>
      </c>
      <c r="D164" s="3">
        <f>0</f>
        <v>0</v>
      </c>
      <c r="E164" s="3">
        <f>(2273472+0+0)</f>
        <v>2273472</v>
      </c>
      <c r="F164" s="3">
        <f>0</f>
        <v>0</v>
      </c>
      <c r="G164" s="3">
        <f>350042</f>
        <v>350042</v>
      </c>
      <c r="H164" s="3">
        <f>(0+350042)</f>
        <v>350042</v>
      </c>
      <c r="I164" s="3">
        <f>((2273472+0+0)-(0+350042))</f>
        <v>1923430</v>
      </c>
    </row>
    <row r="165" spans="1:9" ht="14" x14ac:dyDescent="0.3">
      <c r="A165" s="2" t="s">
        <v>11</v>
      </c>
      <c r="B165" s="3">
        <f>0</f>
        <v>0</v>
      </c>
      <c r="C165" s="3">
        <f>0</f>
        <v>0</v>
      </c>
      <c r="D165" s="3">
        <f>0</f>
        <v>0</v>
      </c>
      <c r="E165" s="3">
        <f>(0+0+0)</f>
        <v>0</v>
      </c>
      <c r="F165" s="3">
        <f>0</f>
        <v>0</v>
      </c>
      <c r="G165" s="3">
        <f>0</f>
        <v>0</v>
      </c>
      <c r="H165" s="3">
        <f>(0+0)</f>
        <v>0</v>
      </c>
      <c r="I165" s="3">
        <f>((0+0+0)-(0+0))</f>
        <v>0</v>
      </c>
    </row>
    <row r="166" spans="1:9" ht="14" x14ac:dyDescent="0.3">
      <c r="A166" s="2" t="s">
        <v>12</v>
      </c>
      <c r="B166" s="3">
        <f>6938000</f>
        <v>6938000</v>
      </c>
      <c r="C166" s="3">
        <f>0</f>
        <v>0</v>
      </c>
      <c r="D166" s="3">
        <f>0</f>
        <v>0</v>
      </c>
      <c r="E166" s="3">
        <f>(6938000+0+0)</f>
        <v>6938000</v>
      </c>
      <c r="F166" s="3">
        <f>0</f>
        <v>0</v>
      </c>
      <c r="G166" s="3">
        <f>1523599</f>
        <v>1523599</v>
      </c>
      <c r="H166" s="3">
        <f>(0+1523599)</f>
        <v>1523599</v>
      </c>
      <c r="I166" s="3">
        <f>((6938000+0+0)-(0+1523599))</f>
        <v>5414401</v>
      </c>
    </row>
    <row r="167" spans="1:9" ht="14" x14ac:dyDescent="0.3">
      <c r="A167" s="2" t="s">
        <v>13</v>
      </c>
      <c r="B167" s="3">
        <f>2695841</f>
        <v>2695841</v>
      </c>
      <c r="C167" s="3">
        <f>0</f>
        <v>0</v>
      </c>
      <c r="D167" s="3">
        <f>0</f>
        <v>0</v>
      </c>
      <c r="E167" s="3">
        <f>(2695841+0+0)</f>
        <v>2695841</v>
      </c>
      <c r="F167" s="3">
        <f>0</f>
        <v>0</v>
      </c>
      <c r="G167" s="3">
        <f>441573</f>
        <v>441573</v>
      </c>
      <c r="H167" s="3">
        <f>(0+441573)</f>
        <v>441573</v>
      </c>
      <c r="I167" s="3">
        <f>((2695841+0+0)-(0+441573))</f>
        <v>2254268</v>
      </c>
    </row>
    <row r="168" spans="1:9" ht="14" x14ac:dyDescent="0.3">
      <c r="A168" s="2" t="s">
        <v>14</v>
      </c>
      <c r="B168" s="3">
        <f>5629767</f>
        <v>5629767</v>
      </c>
      <c r="C168" s="3">
        <f>0</f>
        <v>0</v>
      </c>
      <c r="D168" s="3">
        <f>0</f>
        <v>0</v>
      </c>
      <c r="E168" s="3">
        <f>(5629767+0+0)</f>
        <v>5629767</v>
      </c>
      <c r="F168" s="3">
        <f>15704</f>
        <v>15704</v>
      </c>
      <c r="G168" s="3">
        <f>745208</f>
        <v>745208</v>
      </c>
      <c r="H168" s="3">
        <f>(15704+745208)</f>
        <v>760912</v>
      </c>
      <c r="I168" s="3">
        <f>((5629767+0+0)-(15704+745208))</f>
        <v>4868855</v>
      </c>
    </row>
    <row r="169" spans="1:9" ht="14" x14ac:dyDescent="0.3">
      <c r="A169" s="2" t="s">
        <v>15</v>
      </c>
      <c r="B169" s="3">
        <f>4137270</f>
        <v>4137270</v>
      </c>
      <c r="C169" s="3">
        <f>0</f>
        <v>0</v>
      </c>
      <c r="D169" s="3">
        <f>0</f>
        <v>0</v>
      </c>
      <c r="E169" s="3">
        <f>(4137270+0+0)</f>
        <v>4137270</v>
      </c>
      <c r="F169" s="3">
        <f>0</f>
        <v>0</v>
      </c>
      <c r="G169" s="3">
        <f>454076</f>
        <v>454076</v>
      </c>
      <c r="H169" s="3">
        <f>(0+454076)</f>
        <v>454076</v>
      </c>
      <c r="I169" s="3">
        <f>((4137270+0+0)-(0+454076))</f>
        <v>3683194</v>
      </c>
    </row>
    <row r="170" spans="1:9" ht="14" x14ac:dyDescent="0.3">
      <c r="A170" s="2" t="s">
        <v>16</v>
      </c>
      <c r="B170" s="3">
        <f>3469990</f>
        <v>3469990</v>
      </c>
      <c r="C170" s="3">
        <f>0</f>
        <v>0</v>
      </c>
      <c r="D170" s="3">
        <f>0</f>
        <v>0</v>
      </c>
      <c r="E170" s="3">
        <f>(3469990+0+0)</f>
        <v>3469990</v>
      </c>
      <c r="F170" s="3">
        <f>38038</f>
        <v>38038</v>
      </c>
      <c r="G170" s="3">
        <f>326403</f>
        <v>326403</v>
      </c>
      <c r="H170" s="3">
        <f>(38038+326403)</f>
        <v>364441</v>
      </c>
      <c r="I170" s="3">
        <f>((3469990+0+0)-(38038+326403))</f>
        <v>3105549</v>
      </c>
    </row>
    <row r="171" spans="1:9" ht="14" x14ac:dyDescent="0.3">
      <c r="A171" s="2" t="s">
        <v>17</v>
      </c>
      <c r="B171" s="3">
        <f>494514</f>
        <v>494514</v>
      </c>
      <c r="C171" s="3">
        <f>0</f>
        <v>0</v>
      </c>
      <c r="D171" s="3">
        <f>0</f>
        <v>0</v>
      </c>
      <c r="E171" s="3">
        <f>(494514+0+0)</f>
        <v>494514</v>
      </c>
      <c r="F171" s="3">
        <f>0</f>
        <v>0</v>
      </c>
      <c r="G171" s="3">
        <f>0</f>
        <v>0</v>
      </c>
      <c r="H171" s="3">
        <f>(0+0)</f>
        <v>0</v>
      </c>
      <c r="I171" s="3">
        <f>((494514+0+0)-(0+0))</f>
        <v>494514</v>
      </c>
    </row>
    <row r="172" spans="1:9" ht="14" x14ac:dyDescent="0.3">
      <c r="A172" s="2" t="s">
        <v>18</v>
      </c>
      <c r="B172" s="3">
        <f>5587</f>
        <v>5587</v>
      </c>
      <c r="C172" s="3">
        <f>0</f>
        <v>0</v>
      </c>
      <c r="D172" s="3">
        <f>0</f>
        <v>0</v>
      </c>
      <c r="E172" s="3">
        <f>(5587+0+0)</f>
        <v>5587</v>
      </c>
      <c r="F172" s="3">
        <f>0</f>
        <v>0</v>
      </c>
      <c r="G172" s="3">
        <f>0</f>
        <v>0</v>
      </c>
      <c r="H172" s="3">
        <f>(0+0)</f>
        <v>0</v>
      </c>
      <c r="I172" s="3">
        <f>((5587+0+0)-(0+0))</f>
        <v>5587</v>
      </c>
    </row>
    <row r="173" spans="1:9" ht="14" x14ac:dyDescent="0.3">
      <c r="A173" s="2" t="s">
        <v>19</v>
      </c>
      <c r="B173" s="3">
        <f>2504596</f>
        <v>2504596</v>
      </c>
      <c r="C173" s="3">
        <f>0</f>
        <v>0</v>
      </c>
      <c r="D173" s="3">
        <f>0</f>
        <v>0</v>
      </c>
      <c r="E173" s="3">
        <f>(2504596+0+0)</f>
        <v>2504596</v>
      </c>
      <c r="F173" s="3">
        <f>0</f>
        <v>0</v>
      </c>
      <c r="G173" s="3">
        <f>1015075</f>
        <v>1015075</v>
      </c>
      <c r="H173" s="3">
        <f>(0+1015075)</f>
        <v>1015075</v>
      </c>
      <c r="I173" s="3">
        <f>((2504596+0+0)-(0+1015075))</f>
        <v>1489521</v>
      </c>
    </row>
    <row r="174" spans="1:9" ht="14" x14ac:dyDescent="0.3">
      <c r="A174" s="2" t="s">
        <v>20</v>
      </c>
      <c r="B174" s="3">
        <f>0</f>
        <v>0</v>
      </c>
      <c r="C174" s="3">
        <f>0</f>
        <v>0</v>
      </c>
      <c r="D174" s="3">
        <f>0</f>
        <v>0</v>
      </c>
      <c r="E174" s="3">
        <f>(0+0+0)</f>
        <v>0</v>
      </c>
      <c r="F174" s="3">
        <f>0</f>
        <v>0</v>
      </c>
      <c r="G174" s="3">
        <f>0</f>
        <v>0</v>
      </c>
      <c r="H174" s="3">
        <f>(0+0)</f>
        <v>0</v>
      </c>
      <c r="I174" s="3">
        <f>((0+0+0)-(0+0))</f>
        <v>0</v>
      </c>
    </row>
    <row r="175" spans="1:9" ht="14" x14ac:dyDescent="0.3">
      <c r="A175" s="2" t="s">
        <v>21</v>
      </c>
      <c r="B175" s="3">
        <f>0</f>
        <v>0</v>
      </c>
      <c r="C175" s="3">
        <f>0</f>
        <v>0</v>
      </c>
      <c r="D175" s="3">
        <f>0</f>
        <v>0</v>
      </c>
      <c r="E175" s="3">
        <f>(0+0+0)</f>
        <v>0</v>
      </c>
      <c r="F175" s="3">
        <f>0</f>
        <v>0</v>
      </c>
      <c r="G175" s="3">
        <f>0</f>
        <v>0</v>
      </c>
      <c r="H175" s="3">
        <f>(0+0)</f>
        <v>0</v>
      </c>
      <c r="I175" s="3">
        <f>((0+0+0)-(0+0))</f>
        <v>0</v>
      </c>
    </row>
    <row r="176" spans="1:9" ht="14" x14ac:dyDescent="0.3">
      <c r="A176" s="2" t="s">
        <v>22</v>
      </c>
      <c r="B176" s="3">
        <f>6663437</f>
        <v>6663437</v>
      </c>
      <c r="C176" s="3">
        <f>0</f>
        <v>0</v>
      </c>
      <c r="D176" s="3">
        <f>0</f>
        <v>0</v>
      </c>
      <c r="E176" s="3">
        <f>(6663437+0+0)</f>
        <v>6663437</v>
      </c>
      <c r="F176" s="3">
        <f>0</f>
        <v>0</v>
      </c>
      <c r="G176" s="3">
        <f>62262</f>
        <v>62262</v>
      </c>
      <c r="H176" s="3">
        <f>(0+62262)</f>
        <v>62262</v>
      </c>
      <c r="I176" s="3">
        <f>((6663437+0+0)-(0+62262))</f>
        <v>6601175</v>
      </c>
    </row>
    <row r="177" spans="1:9" ht="14" x14ac:dyDescent="0.3">
      <c r="A177" s="2" t="s">
        <v>23</v>
      </c>
      <c r="B177" s="3">
        <f>0</f>
        <v>0</v>
      </c>
      <c r="C177" s="3">
        <f>0</f>
        <v>0</v>
      </c>
      <c r="D177" s="3">
        <f>0</f>
        <v>0</v>
      </c>
      <c r="E177" s="3">
        <f>(0+0+0)</f>
        <v>0</v>
      </c>
      <c r="F177" s="3">
        <f>0</f>
        <v>0</v>
      </c>
      <c r="G177" s="3">
        <f>0</f>
        <v>0</v>
      </c>
      <c r="H177" s="3">
        <f>(0+0)</f>
        <v>0</v>
      </c>
      <c r="I177" s="3">
        <f>((0+0+0)-(0+0))</f>
        <v>0</v>
      </c>
    </row>
    <row r="178" spans="1:9" ht="14" x14ac:dyDescent="0.3">
      <c r="A178" s="2" t="s">
        <v>24</v>
      </c>
      <c r="B178" s="3">
        <f>810701</f>
        <v>810701</v>
      </c>
      <c r="C178" s="3">
        <f>0</f>
        <v>0</v>
      </c>
      <c r="D178" s="3">
        <f>0</f>
        <v>0</v>
      </c>
      <c r="E178" s="3">
        <f>(810701+0+0)</f>
        <v>810701</v>
      </c>
      <c r="F178" s="3">
        <f>0</f>
        <v>0</v>
      </c>
      <c r="G178" s="3">
        <f>306922</f>
        <v>306922</v>
      </c>
      <c r="H178" s="3">
        <f>(0+306922)</f>
        <v>306922</v>
      </c>
      <c r="I178" s="3">
        <f>((810701+0+0)-(0+306922))</f>
        <v>503779</v>
      </c>
    </row>
    <row r="179" spans="1:9" ht="14" x14ac:dyDescent="0.3">
      <c r="A179" s="2" t="s">
        <v>25</v>
      </c>
      <c r="B179" s="3">
        <f>0</f>
        <v>0</v>
      </c>
      <c r="C179" s="3">
        <f>0</f>
        <v>0</v>
      </c>
      <c r="D179" s="3">
        <f>0</f>
        <v>0</v>
      </c>
      <c r="E179" s="3">
        <f>(0+0+0)</f>
        <v>0</v>
      </c>
      <c r="F179" s="3">
        <f>0</f>
        <v>0</v>
      </c>
      <c r="G179" s="3">
        <f>0</f>
        <v>0</v>
      </c>
      <c r="H179" s="3">
        <f>(0+0)</f>
        <v>0</v>
      </c>
      <c r="I179" s="3">
        <f>((0+0+0)-(0+0))</f>
        <v>0</v>
      </c>
    </row>
    <row r="180" spans="1:9" ht="14" x14ac:dyDescent="0.3">
      <c r="A180" s="2" t="s">
        <v>26</v>
      </c>
      <c r="B180" s="3">
        <f>1317539</f>
        <v>1317539</v>
      </c>
      <c r="C180" s="3">
        <f>0</f>
        <v>0</v>
      </c>
      <c r="D180" s="3">
        <f>0</f>
        <v>0</v>
      </c>
      <c r="E180" s="3">
        <f>(1317539+0+0)</f>
        <v>1317539</v>
      </c>
      <c r="F180" s="3">
        <f>0</f>
        <v>0</v>
      </c>
      <c r="G180" s="3">
        <f>0</f>
        <v>0</v>
      </c>
      <c r="H180" s="3">
        <f>(0+0)</f>
        <v>0</v>
      </c>
      <c r="I180" s="3">
        <f>((1317539+0+0)-(0+0))</f>
        <v>1317539</v>
      </c>
    </row>
    <row r="181" spans="1:9" ht="14" x14ac:dyDescent="0.3">
      <c r="A181" s="5" t="s">
        <v>35</v>
      </c>
      <c r="B181" s="5"/>
      <c r="C181" s="5"/>
      <c r="D181" s="5"/>
      <c r="E181" s="5"/>
      <c r="F181" s="5"/>
      <c r="G181" s="5"/>
      <c r="H181" s="5"/>
      <c r="I181" s="5"/>
    </row>
    <row r="182" spans="1:9" ht="14" x14ac:dyDescent="0.3">
      <c r="A182" s="4" t="s">
        <v>1</v>
      </c>
      <c r="B182" s="1" t="s">
        <v>2</v>
      </c>
      <c r="C182" s="1" t="s">
        <v>3</v>
      </c>
      <c r="D182" s="1" t="s">
        <v>4</v>
      </c>
      <c r="E182" s="1" t="s">
        <v>5</v>
      </c>
      <c r="F182" s="1" t="s">
        <v>6</v>
      </c>
      <c r="G182" s="1" t="s">
        <v>7</v>
      </c>
      <c r="H182" s="1" t="s">
        <v>8</v>
      </c>
      <c r="I182" s="1" t="s">
        <v>9</v>
      </c>
    </row>
    <row r="183" spans="1:9" ht="14" x14ac:dyDescent="0.3">
      <c r="A183" s="4"/>
      <c r="B183" s="1">
        <v>2023</v>
      </c>
      <c r="C183" s="1">
        <v>2023</v>
      </c>
      <c r="D183" s="1">
        <v>2023</v>
      </c>
      <c r="E183" s="1">
        <v>2023</v>
      </c>
      <c r="F183" s="1">
        <v>2023</v>
      </c>
      <c r="G183" s="1">
        <v>2023</v>
      </c>
      <c r="H183" s="1">
        <v>2023</v>
      </c>
      <c r="I183" s="1">
        <v>2023</v>
      </c>
    </row>
    <row r="184" spans="1:9" ht="14" x14ac:dyDescent="0.3">
      <c r="A184" s="2" t="s">
        <v>10</v>
      </c>
      <c r="B184" s="3">
        <f>125614</f>
        <v>125614</v>
      </c>
      <c r="C184" s="3">
        <f>0</f>
        <v>0</v>
      </c>
      <c r="D184" s="3">
        <f>0</f>
        <v>0</v>
      </c>
      <c r="E184" s="3">
        <f>(125614+0+0)</f>
        <v>125614</v>
      </c>
      <c r="F184" s="3">
        <f>0</f>
        <v>0</v>
      </c>
      <c r="G184" s="3">
        <f>864</f>
        <v>864</v>
      </c>
      <c r="H184" s="3">
        <f>(0+864)</f>
        <v>864</v>
      </c>
      <c r="I184" s="3">
        <f>((125614+0+0)-(0+864))</f>
        <v>124750</v>
      </c>
    </row>
    <row r="185" spans="1:9" ht="14" x14ac:dyDescent="0.3">
      <c r="A185" s="2" t="s">
        <v>11</v>
      </c>
      <c r="B185" s="3">
        <f>0</f>
        <v>0</v>
      </c>
      <c r="C185" s="3">
        <f>0</f>
        <v>0</v>
      </c>
      <c r="D185" s="3">
        <f>0</f>
        <v>0</v>
      </c>
      <c r="E185" s="3">
        <f>(0+0+0)</f>
        <v>0</v>
      </c>
      <c r="F185" s="3">
        <f>0</f>
        <v>0</v>
      </c>
      <c r="G185" s="3">
        <f>0</f>
        <v>0</v>
      </c>
      <c r="H185" s="3">
        <f>(0+0)</f>
        <v>0</v>
      </c>
      <c r="I185" s="3">
        <f>((0+0+0)-(0+0))</f>
        <v>0</v>
      </c>
    </row>
    <row r="186" spans="1:9" ht="14" x14ac:dyDescent="0.3">
      <c r="A186" s="2" t="s">
        <v>12</v>
      </c>
      <c r="B186" s="3">
        <f>67836</f>
        <v>67836</v>
      </c>
      <c r="C186" s="3">
        <f>0</f>
        <v>0</v>
      </c>
      <c r="D186" s="3">
        <f>0</f>
        <v>0</v>
      </c>
      <c r="E186" s="3">
        <f>(67836+0+0)</f>
        <v>67836</v>
      </c>
      <c r="F186" s="3">
        <f>0</f>
        <v>0</v>
      </c>
      <c r="G186" s="3">
        <f>30155</f>
        <v>30155</v>
      </c>
      <c r="H186" s="3">
        <f>(0+30155)</f>
        <v>30155</v>
      </c>
      <c r="I186" s="3">
        <f>((67836+0+0)-(0+30155))</f>
        <v>37681</v>
      </c>
    </row>
    <row r="187" spans="1:9" ht="14" x14ac:dyDescent="0.3">
      <c r="A187" s="2" t="s">
        <v>13</v>
      </c>
      <c r="B187" s="3">
        <f>139308</f>
        <v>139308</v>
      </c>
      <c r="C187" s="3">
        <f>0</f>
        <v>0</v>
      </c>
      <c r="D187" s="3">
        <f>0</f>
        <v>0</v>
      </c>
      <c r="E187" s="3">
        <f>(139308+0+0)</f>
        <v>139308</v>
      </c>
      <c r="F187" s="3">
        <f>0</f>
        <v>0</v>
      </c>
      <c r="G187" s="3">
        <f>0</f>
        <v>0</v>
      </c>
      <c r="H187" s="3">
        <f>(0+0)</f>
        <v>0</v>
      </c>
      <c r="I187" s="3">
        <f>((139308+0+0)-(0+0))</f>
        <v>139308</v>
      </c>
    </row>
    <row r="188" spans="1:9" ht="14" x14ac:dyDescent="0.3">
      <c r="A188" s="2" t="s">
        <v>14</v>
      </c>
      <c r="B188" s="3">
        <f>28683</f>
        <v>28683</v>
      </c>
      <c r="C188" s="3">
        <f>0</f>
        <v>0</v>
      </c>
      <c r="D188" s="3">
        <f>0</f>
        <v>0</v>
      </c>
      <c r="E188" s="3">
        <f>(28683+0+0)</f>
        <v>28683</v>
      </c>
      <c r="F188" s="3">
        <f>0</f>
        <v>0</v>
      </c>
      <c r="G188" s="3">
        <f>0</f>
        <v>0</v>
      </c>
      <c r="H188" s="3">
        <f>(0+0)</f>
        <v>0</v>
      </c>
      <c r="I188" s="3">
        <f>((28683+0+0)-(0+0))</f>
        <v>28683</v>
      </c>
    </row>
    <row r="189" spans="1:9" ht="14" x14ac:dyDescent="0.3">
      <c r="A189" s="2" t="s">
        <v>15</v>
      </c>
      <c r="B189" s="3">
        <f>245574</f>
        <v>245574</v>
      </c>
      <c r="C189" s="3">
        <f>0</f>
        <v>0</v>
      </c>
      <c r="D189" s="3">
        <f>0</f>
        <v>0</v>
      </c>
      <c r="E189" s="3">
        <f>(245574+0+0)</f>
        <v>245574</v>
      </c>
      <c r="F189" s="3">
        <f>0</f>
        <v>0</v>
      </c>
      <c r="G189" s="3">
        <f>243168</f>
        <v>243168</v>
      </c>
      <c r="H189" s="3">
        <f>(0+243168)</f>
        <v>243168</v>
      </c>
      <c r="I189" s="3">
        <f>((245574+0+0)-(0+243168))</f>
        <v>2406</v>
      </c>
    </row>
    <row r="190" spans="1:9" ht="14" x14ac:dyDescent="0.3">
      <c r="A190" s="2" t="s">
        <v>16</v>
      </c>
      <c r="B190" s="3">
        <f>213218</f>
        <v>213218</v>
      </c>
      <c r="C190" s="3">
        <f>0</f>
        <v>0</v>
      </c>
      <c r="D190" s="3">
        <f>0</f>
        <v>0</v>
      </c>
      <c r="E190" s="3">
        <f>(213218+0+0)</f>
        <v>213218</v>
      </c>
      <c r="F190" s="3">
        <f>617</f>
        <v>617</v>
      </c>
      <c r="G190" s="3">
        <f>5297</f>
        <v>5297</v>
      </c>
      <c r="H190" s="3">
        <f>(617+5297)</f>
        <v>5914</v>
      </c>
      <c r="I190" s="3">
        <f>((213218+0+0)-(617+5297))</f>
        <v>207304</v>
      </c>
    </row>
    <row r="191" spans="1:9" ht="14" x14ac:dyDescent="0.3">
      <c r="A191" s="2" t="s">
        <v>17</v>
      </c>
      <c r="B191" s="3">
        <f>463</f>
        <v>463</v>
      </c>
      <c r="C191" s="3">
        <f>0</f>
        <v>0</v>
      </c>
      <c r="D191" s="3">
        <f>0</f>
        <v>0</v>
      </c>
      <c r="E191" s="3">
        <f>(463+0+0)</f>
        <v>463</v>
      </c>
      <c r="F191" s="3">
        <f>0</f>
        <v>0</v>
      </c>
      <c r="G191" s="3">
        <f>0</f>
        <v>0</v>
      </c>
      <c r="H191" s="3">
        <f>(0+0)</f>
        <v>0</v>
      </c>
      <c r="I191" s="3">
        <f>((463+0+0)-(0+0))</f>
        <v>463</v>
      </c>
    </row>
    <row r="192" spans="1:9" ht="14" x14ac:dyDescent="0.3">
      <c r="A192" s="2" t="s">
        <v>18</v>
      </c>
      <c r="B192" s="3">
        <f>4612</f>
        <v>4612</v>
      </c>
      <c r="C192" s="3">
        <f>0</f>
        <v>0</v>
      </c>
      <c r="D192" s="3">
        <f>0</f>
        <v>0</v>
      </c>
      <c r="E192" s="3">
        <f>(4612+0+0)</f>
        <v>4612</v>
      </c>
      <c r="F192" s="3">
        <f>0</f>
        <v>0</v>
      </c>
      <c r="G192" s="3">
        <f>0</f>
        <v>0</v>
      </c>
      <c r="H192" s="3">
        <f>(0+0)</f>
        <v>0</v>
      </c>
      <c r="I192" s="3">
        <f>((4612+0+0)-(0+0))</f>
        <v>4612</v>
      </c>
    </row>
    <row r="193" spans="1:9" ht="14" x14ac:dyDescent="0.3">
      <c r="A193" s="2" t="s">
        <v>19</v>
      </c>
      <c r="B193" s="3">
        <f>37714</f>
        <v>37714</v>
      </c>
      <c r="C193" s="3">
        <f>0</f>
        <v>0</v>
      </c>
      <c r="D193" s="3">
        <f>0</f>
        <v>0</v>
      </c>
      <c r="E193" s="3">
        <f>(37714+0+0)</f>
        <v>37714</v>
      </c>
      <c r="F193" s="3">
        <f>0</f>
        <v>0</v>
      </c>
      <c r="G193" s="3">
        <f>34289</f>
        <v>34289</v>
      </c>
      <c r="H193" s="3">
        <f>(0+34289)</f>
        <v>34289</v>
      </c>
      <c r="I193" s="3">
        <f>((37714+0+0)-(0+34289))</f>
        <v>3425</v>
      </c>
    </row>
    <row r="194" spans="1:9" ht="14" x14ac:dyDescent="0.3">
      <c r="A194" s="2" t="s">
        <v>20</v>
      </c>
      <c r="B194" s="3">
        <f>17394</f>
        <v>17394</v>
      </c>
      <c r="C194" s="3">
        <f>0</f>
        <v>0</v>
      </c>
      <c r="D194" s="3">
        <f>0</f>
        <v>0</v>
      </c>
      <c r="E194" s="3">
        <f>(17394+0+0)</f>
        <v>17394</v>
      </c>
      <c r="F194" s="3">
        <f>0</f>
        <v>0</v>
      </c>
      <c r="G194" s="3">
        <f>11517</f>
        <v>11517</v>
      </c>
      <c r="H194" s="3">
        <f>(0+11517)</f>
        <v>11517</v>
      </c>
      <c r="I194" s="3">
        <f>((17394+0+0)-(0+11517))</f>
        <v>5877</v>
      </c>
    </row>
    <row r="195" spans="1:9" ht="14" x14ac:dyDescent="0.3">
      <c r="A195" s="2" t="s">
        <v>21</v>
      </c>
      <c r="B195" s="3">
        <f>0</f>
        <v>0</v>
      </c>
      <c r="C195" s="3">
        <f>0</f>
        <v>0</v>
      </c>
      <c r="D195" s="3">
        <f>0</f>
        <v>0</v>
      </c>
      <c r="E195" s="3">
        <f>(0+0+0)</f>
        <v>0</v>
      </c>
      <c r="F195" s="3">
        <f>0</f>
        <v>0</v>
      </c>
      <c r="G195" s="3">
        <f>0</f>
        <v>0</v>
      </c>
      <c r="H195" s="3">
        <f>(0+0)</f>
        <v>0</v>
      </c>
      <c r="I195" s="3">
        <f>((0+0+0)-(0+0))</f>
        <v>0</v>
      </c>
    </row>
    <row r="196" spans="1:9" ht="14" x14ac:dyDescent="0.3">
      <c r="A196" s="2" t="s">
        <v>22</v>
      </c>
      <c r="B196" s="3">
        <f>67331</f>
        <v>67331</v>
      </c>
      <c r="C196" s="3">
        <f>0</f>
        <v>0</v>
      </c>
      <c r="D196" s="3">
        <f>0</f>
        <v>0</v>
      </c>
      <c r="E196" s="3">
        <f>(67331+0+0)</f>
        <v>67331</v>
      </c>
      <c r="F196" s="3">
        <f>0</f>
        <v>0</v>
      </c>
      <c r="G196" s="3">
        <f>50551</f>
        <v>50551</v>
      </c>
      <c r="H196" s="3">
        <f>(0+50551)</f>
        <v>50551</v>
      </c>
      <c r="I196" s="3">
        <f>((67331+0+0)-(0+50551))</f>
        <v>16780</v>
      </c>
    </row>
    <row r="197" spans="1:9" ht="14" x14ac:dyDescent="0.3">
      <c r="A197" s="2" t="s">
        <v>23</v>
      </c>
      <c r="B197" s="3">
        <f>15600</f>
        <v>15600</v>
      </c>
      <c r="C197" s="3">
        <f>0</f>
        <v>0</v>
      </c>
      <c r="D197" s="3">
        <f>0</f>
        <v>0</v>
      </c>
      <c r="E197" s="3">
        <f>(15600+0+0)</f>
        <v>15600</v>
      </c>
      <c r="F197" s="3">
        <f>0</f>
        <v>0</v>
      </c>
      <c r="G197" s="3">
        <f>610</f>
        <v>610</v>
      </c>
      <c r="H197" s="3">
        <f>(0+610)</f>
        <v>610</v>
      </c>
      <c r="I197" s="3">
        <f>((15600+0+0)-(0+610))</f>
        <v>14990</v>
      </c>
    </row>
    <row r="198" spans="1:9" ht="14" x14ac:dyDescent="0.3">
      <c r="A198" s="2" t="s">
        <v>24</v>
      </c>
      <c r="B198" s="3">
        <f>73659</f>
        <v>73659</v>
      </c>
      <c r="C198" s="3">
        <f>0</f>
        <v>0</v>
      </c>
      <c r="D198" s="3">
        <f>0</f>
        <v>0</v>
      </c>
      <c r="E198" s="3">
        <f>(73659+0+0)</f>
        <v>73659</v>
      </c>
      <c r="F198" s="3">
        <f>0</f>
        <v>0</v>
      </c>
      <c r="G198" s="3">
        <f>25624</f>
        <v>25624</v>
      </c>
      <c r="H198" s="3">
        <f>(0+25624)</f>
        <v>25624</v>
      </c>
      <c r="I198" s="3">
        <f>((73659+0+0)-(0+25624))</f>
        <v>48035</v>
      </c>
    </row>
    <row r="199" spans="1:9" ht="14" x14ac:dyDescent="0.3">
      <c r="A199" s="2" t="s">
        <v>25</v>
      </c>
      <c r="B199" s="3">
        <f>2143</f>
        <v>2143</v>
      </c>
      <c r="C199" s="3">
        <f>0</f>
        <v>0</v>
      </c>
      <c r="D199" s="3">
        <f>0</f>
        <v>0</v>
      </c>
      <c r="E199" s="3">
        <f>(2143+0+0)</f>
        <v>2143</v>
      </c>
      <c r="F199" s="3">
        <f>0</f>
        <v>0</v>
      </c>
      <c r="G199" s="3">
        <f>0</f>
        <v>0</v>
      </c>
      <c r="H199" s="3">
        <f>(0+0)</f>
        <v>0</v>
      </c>
      <c r="I199" s="3">
        <f>((2143+0+0)-(0+0))</f>
        <v>2143</v>
      </c>
    </row>
    <row r="200" spans="1:9" ht="14" x14ac:dyDescent="0.3">
      <c r="A200" s="2" t="s">
        <v>26</v>
      </c>
      <c r="B200" s="3">
        <f>1929</f>
        <v>1929</v>
      </c>
      <c r="C200" s="3">
        <f>0</f>
        <v>0</v>
      </c>
      <c r="D200" s="3">
        <f>0</f>
        <v>0</v>
      </c>
      <c r="E200" s="3">
        <f>(1929+0+0)</f>
        <v>1929</v>
      </c>
      <c r="F200" s="3">
        <f>0</f>
        <v>0</v>
      </c>
      <c r="G200" s="3">
        <f>0</f>
        <v>0</v>
      </c>
      <c r="H200" s="3">
        <f>(0+0)</f>
        <v>0</v>
      </c>
      <c r="I200" s="3">
        <f>((1929+0+0)-(0+0))</f>
        <v>1929</v>
      </c>
    </row>
    <row r="201" spans="1:9" ht="14" x14ac:dyDescent="0.3">
      <c r="A201" s="5" t="s">
        <v>36</v>
      </c>
      <c r="B201" s="5"/>
      <c r="C201" s="5"/>
      <c r="D201" s="5"/>
      <c r="E201" s="5"/>
      <c r="F201" s="5"/>
      <c r="G201" s="5"/>
      <c r="H201" s="5"/>
      <c r="I201" s="5"/>
    </row>
    <row r="202" spans="1:9" ht="14" x14ac:dyDescent="0.3">
      <c r="A202" s="4" t="s">
        <v>1</v>
      </c>
      <c r="B202" s="1" t="s">
        <v>2</v>
      </c>
      <c r="C202" s="1" t="s">
        <v>3</v>
      </c>
      <c r="D202" s="1" t="s">
        <v>4</v>
      </c>
      <c r="E202" s="1" t="s">
        <v>5</v>
      </c>
      <c r="F202" s="1" t="s">
        <v>6</v>
      </c>
      <c r="G202" s="1" t="s">
        <v>7</v>
      </c>
      <c r="H202" s="1" t="s">
        <v>8</v>
      </c>
      <c r="I202" s="1" t="s">
        <v>9</v>
      </c>
    </row>
    <row r="203" spans="1:9" ht="14" x14ac:dyDescent="0.3">
      <c r="A203" s="4"/>
      <c r="B203" s="1">
        <v>2023</v>
      </c>
      <c r="C203" s="1">
        <v>2023</v>
      </c>
      <c r="D203" s="1">
        <v>2023</v>
      </c>
      <c r="E203" s="1">
        <v>2023</v>
      </c>
      <c r="F203" s="1">
        <v>2023</v>
      </c>
      <c r="G203" s="1">
        <v>2023</v>
      </c>
      <c r="H203" s="1">
        <v>2023</v>
      </c>
      <c r="I203" s="1">
        <v>2023</v>
      </c>
    </row>
    <row r="204" spans="1:9" ht="14" x14ac:dyDescent="0.3">
      <c r="A204" s="2" t="s">
        <v>10</v>
      </c>
      <c r="B204" s="3">
        <f>4838761</f>
        <v>4838761</v>
      </c>
      <c r="C204" s="3">
        <f>0</f>
        <v>0</v>
      </c>
      <c r="D204" s="3">
        <f>0</f>
        <v>0</v>
      </c>
      <c r="E204" s="3">
        <f>(4838761+0+0)</f>
        <v>4838761</v>
      </c>
      <c r="F204" s="3">
        <f>0</f>
        <v>0</v>
      </c>
      <c r="G204" s="3">
        <f>205841</f>
        <v>205841</v>
      </c>
      <c r="H204" s="3">
        <f>(0+205841)</f>
        <v>205841</v>
      </c>
      <c r="I204" s="3">
        <f>((4838761+0+0)-(0+205841))</f>
        <v>4632920</v>
      </c>
    </row>
    <row r="205" spans="1:9" ht="14" x14ac:dyDescent="0.3">
      <c r="A205" s="2" t="s">
        <v>11</v>
      </c>
      <c r="B205" s="3">
        <f>0</f>
        <v>0</v>
      </c>
      <c r="C205" s="3">
        <f>0</f>
        <v>0</v>
      </c>
      <c r="D205" s="3">
        <f>0</f>
        <v>0</v>
      </c>
      <c r="E205" s="3">
        <f>(0+0+0)</f>
        <v>0</v>
      </c>
      <c r="F205" s="3">
        <f>0</f>
        <v>0</v>
      </c>
      <c r="G205" s="3">
        <f>0</f>
        <v>0</v>
      </c>
      <c r="H205" s="3">
        <f>(0+0)</f>
        <v>0</v>
      </c>
      <c r="I205" s="3">
        <f>((0+0+0)-(0+0))</f>
        <v>0</v>
      </c>
    </row>
    <row r="206" spans="1:9" ht="14" x14ac:dyDescent="0.3">
      <c r="A206" s="2" t="s">
        <v>12</v>
      </c>
      <c r="B206" s="3">
        <f>152299</f>
        <v>152299</v>
      </c>
      <c r="C206" s="3">
        <f>43377</f>
        <v>43377</v>
      </c>
      <c r="D206" s="3">
        <f>0</f>
        <v>0</v>
      </c>
      <c r="E206" s="3">
        <f>(152299+43377+0)</f>
        <v>195676</v>
      </c>
      <c r="F206" s="3">
        <f>0</f>
        <v>0</v>
      </c>
      <c r="G206" s="3">
        <f>185804</f>
        <v>185804</v>
      </c>
      <c r="H206" s="3">
        <f>(0+185804)</f>
        <v>185804</v>
      </c>
      <c r="I206" s="3">
        <f>((152299+43377+0)-(0+185804))</f>
        <v>9872</v>
      </c>
    </row>
    <row r="207" spans="1:9" ht="14" x14ac:dyDescent="0.3">
      <c r="A207" s="2" t="s">
        <v>13</v>
      </c>
      <c r="B207" s="3">
        <f>517911</f>
        <v>517911</v>
      </c>
      <c r="C207" s="3">
        <f>8173</f>
        <v>8173</v>
      </c>
      <c r="D207" s="3">
        <f>0</f>
        <v>0</v>
      </c>
      <c r="E207" s="3">
        <f>(517911+8173+0)</f>
        <v>526084</v>
      </c>
      <c r="F207" s="3">
        <f>2636</f>
        <v>2636</v>
      </c>
      <c r="G207" s="3">
        <f>96044</f>
        <v>96044</v>
      </c>
      <c r="H207" s="3">
        <f>(2636+96044)</f>
        <v>98680</v>
      </c>
      <c r="I207" s="3">
        <f>((517911+8173+0)-(2636+96044))</f>
        <v>427404</v>
      </c>
    </row>
    <row r="208" spans="1:9" ht="14" x14ac:dyDescent="0.3">
      <c r="A208" s="2" t="s">
        <v>14</v>
      </c>
      <c r="B208" s="3">
        <f>335167</f>
        <v>335167</v>
      </c>
      <c r="C208" s="3">
        <f>0</f>
        <v>0</v>
      </c>
      <c r="D208" s="3">
        <f>0</f>
        <v>0</v>
      </c>
      <c r="E208" s="3">
        <f>(335167+0+0)</f>
        <v>335167</v>
      </c>
      <c r="F208" s="3">
        <f>72166</f>
        <v>72166</v>
      </c>
      <c r="G208" s="3">
        <f>244756</f>
        <v>244756</v>
      </c>
      <c r="H208" s="3">
        <f>(72166+244756)</f>
        <v>316922</v>
      </c>
      <c r="I208" s="3">
        <f>((335167+0+0)-(72166+244756))</f>
        <v>18245</v>
      </c>
    </row>
    <row r="209" spans="1:9" ht="14" x14ac:dyDescent="0.3">
      <c r="A209" s="2" t="s">
        <v>15</v>
      </c>
      <c r="B209" s="3">
        <f>2263069</f>
        <v>2263069</v>
      </c>
      <c r="C209" s="3">
        <f>0</f>
        <v>0</v>
      </c>
      <c r="D209" s="3">
        <f>0</f>
        <v>0</v>
      </c>
      <c r="E209" s="3">
        <f>(2263069+0+0)</f>
        <v>2263069</v>
      </c>
      <c r="F209" s="3">
        <f>0</f>
        <v>0</v>
      </c>
      <c r="G209" s="3">
        <f>2228381</f>
        <v>2228381</v>
      </c>
      <c r="H209" s="3">
        <f>(0+2228381)</f>
        <v>2228381</v>
      </c>
      <c r="I209" s="3">
        <f>((2263069+0+0)-(0+2228381))</f>
        <v>34688</v>
      </c>
    </row>
    <row r="210" spans="1:9" ht="14" x14ac:dyDescent="0.3">
      <c r="A210" s="2" t="s">
        <v>16</v>
      </c>
      <c r="B210" s="3">
        <f>45526</f>
        <v>45526</v>
      </c>
      <c r="C210" s="3">
        <f>0</f>
        <v>0</v>
      </c>
      <c r="D210" s="3">
        <f>0</f>
        <v>0</v>
      </c>
      <c r="E210" s="3">
        <f>(45526+0+0)</f>
        <v>45526</v>
      </c>
      <c r="F210" s="3">
        <f>3856</f>
        <v>3856</v>
      </c>
      <c r="G210" s="3">
        <f>33092</f>
        <v>33092</v>
      </c>
      <c r="H210" s="3">
        <f>(3856+33092)</f>
        <v>36948</v>
      </c>
      <c r="I210" s="3">
        <f>((45526+0+0)-(3856+33092))</f>
        <v>8578</v>
      </c>
    </row>
    <row r="211" spans="1:9" ht="14" x14ac:dyDescent="0.3">
      <c r="A211" s="2" t="s">
        <v>17</v>
      </c>
      <c r="B211" s="3">
        <f>0</f>
        <v>0</v>
      </c>
      <c r="C211" s="3">
        <f>2384</f>
        <v>2384</v>
      </c>
      <c r="D211" s="3">
        <f>0</f>
        <v>0</v>
      </c>
      <c r="E211" s="3">
        <f>(0+2384+0)</f>
        <v>2384</v>
      </c>
      <c r="F211" s="3">
        <f>0</f>
        <v>0</v>
      </c>
      <c r="G211" s="3">
        <f>0</f>
        <v>0</v>
      </c>
      <c r="H211" s="3">
        <f>(0+0)</f>
        <v>0</v>
      </c>
      <c r="I211" s="3">
        <f>((0+2384+0)-(0+0))</f>
        <v>2384</v>
      </c>
    </row>
    <row r="212" spans="1:9" ht="14" x14ac:dyDescent="0.3">
      <c r="A212" s="2" t="s">
        <v>18</v>
      </c>
      <c r="B212" s="3">
        <f>11736</f>
        <v>11736</v>
      </c>
      <c r="C212" s="3">
        <f>873</f>
        <v>873</v>
      </c>
      <c r="D212" s="3">
        <f>0</f>
        <v>0</v>
      </c>
      <c r="E212" s="3">
        <f>(11736+873+0)</f>
        <v>12609</v>
      </c>
      <c r="F212" s="3">
        <f>4235</f>
        <v>4235</v>
      </c>
      <c r="G212" s="3">
        <f>6949</f>
        <v>6949</v>
      </c>
      <c r="H212" s="3">
        <f>(4235+6949)</f>
        <v>11184</v>
      </c>
      <c r="I212" s="3">
        <f>((11736+873+0)-(4235+6949))</f>
        <v>1425</v>
      </c>
    </row>
    <row r="213" spans="1:9" ht="14" x14ac:dyDescent="0.3">
      <c r="A213" s="2" t="s">
        <v>19</v>
      </c>
      <c r="B213" s="3">
        <f>187790</f>
        <v>187790</v>
      </c>
      <c r="C213" s="3">
        <f>512</f>
        <v>512</v>
      </c>
      <c r="D213" s="3">
        <f>0</f>
        <v>0</v>
      </c>
      <c r="E213" s="3">
        <f>(187790+512+0)</f>
        <v>188302</v>
      </c>
      <c r="F213" s="3">
        <f>9708</f>
        <v>9708</v>
      </c>
      <c r="G213" s="3">
        <f>158295</f>
        <v>158295</v>
      </c>
      <c r="H213" s="3">
        <f>(9708+158295)</f>
        <v>168003</v>
      </c>
      <c r="I213" s="3">
        <f>((187790+512+0)-(9708+158295))</f>
        <v>20299</v>
      </c>
    </row>
    <row r="214" spans="1:9" ht="14" x14ac:dyDescent="0.3">
      <c r="A214" s="2" t="s">
        <v>20</v>
      </c>
      <c r="B214" s="3">
        <f>20888</f>
        <v>20888</v>
      </c>
      <c r="C214" s="3">
        <f>80</f>
        <v>80</v>
      </c>
      <c r="D214" s="3">
        <f>0</f>
        <v>0</v>
      </c>
      <c r="E214" s="3">
        <f>(20888+80+0)</f>
        <v>20968</v>
      </c>
      <c r="F214" s="3">
        <f>68</f>
        <v>68</v>
      </c>
      <c r="G214" s="3">
        <f>19491</f>
        <v>19491</v>
      </c>
      <c r="H214" s="3">
        <f>(68+19491)</f>
        <v>19559</v>
      </c>
      <c r="I214" s="3">
        <f>((20888+80+0)-(68+19491))</f>
        <v>1409</v>
      </c>
    </row>
    <row r="215" spans="1:9" ht="14" x14ac:dyDescent="0.3">
      <c r="A215" s="2" t="s">
        <v>21</v>
      </c>
      <c r="B215" s="3">
        <f>0</f>
        <v>0</v>
      </c>
      <c r="C215" s="3">
        <f>0</f>
        <v>0</v>
      </c>
      <c r="D215" s="3">
        <f>0</f>
        <v>0</v>
      </c>
      <c r="E215" s="3">
        <f>(0+0+0)</f>
        <v>0</v>
      </c>
      <c r="F215" s="3">
        <f>0</f>
        <v>0</v>
      </c>
      <c r="G215" s="3">
        <f>0</f>
        <v>0</v>
      </c>
      <c r="H215" s="3">
        <f>(0+0)</f>
        <v>0</v>
      </c>
      <c r="I215" s="3">
        <f>((0+0+0)-(0+0))</f>
        <v>0</v>
      </c>
    </row>
    <row r="216" spans="1:9" ht="14" x14ac:dyDescent="0.3">
      <c r="A216" s="2" t="s">
        <v>22</v>
      </c>
      <c r="B216" s="3">
        <f>1255413</f>
        <v>1255413</v>
      </c>
      <c r="C216" s="3">
        <f>0</f>
        <v>0</v>
      </c>
      <c r="D216" s="3">
        <f>0</f>
        <v>0</v>
      </c>
      <c r="E216" s="3">
        <f>(1255413+0+0)</f>
        <v>1255413</v>
      </c>
      <c r="F216" s="3">
        <f>3832</f>
        <v>3832</v>
      </c>
      <c r="G216" s="3">
        <f>1228289</f>
        <v>1228289</v>
      </c>
      <c r="H216" s="3">
        <f>(3832+1228289)</f>
        <v>1232121</v>
      </c>
      <c r="I216" s="3">
        <f>((1255413+0+0)-(3832+1228289))</f>
        <v>23292</v>
      </c>
    </row>
    <row r="217" spans="1:9" ht="14" x14ac:dyDescent="0.3">
      <c r="A217" s="2" t="s">
        <v>23</v>
      </c>
      <c r="B217" s="3">
        <f>135012</f>
        <v>135012</v>
      </c>
      <c r="C217" s="3">
        <f>34507</f>
        <v>34507</v>
      </c>
      <c r="D217" s="3">
        <f>0</f>
        <v>0</v>
      </c>
      <c r="E217" s="3">
        <f>(135012+34507+0)</f>
        <v>169519</v>
      </c>
      <c r="F217" s="3">
        <f>0</f>
        <v>0</v>
      </c>
      <c r="G217" s="3">
        <f>146628</f>
        <v>146628</v>
      </c>
      <c r="H217" s="3">
        <f>(0+146628)</f>
        <v>146628</v>
      </c>
      <c r="I217" s="3">
        <f>((135012+34507+0)-(0+146628))</f>
        <v>22891</v>
      </c>
    </row>
    <row r="218" spans="1:9" ht="14" x14ac:dyDescent="0.3">
      <c r="A218" s="2" t="s">
        <v>24</v>
      </c>
      <c r="B218" s="3">
        <f>463624</f>
        <v>463624</v>
      </c>
      <c r="C218" s="3">
        <f>0</f>
        <v>0</v>
      </c>
      <c r="D218" s="3">
        <f>0</f>
        <v>0</v>
      </c>
      <c r="E218" s="3">
        <f>(463624+0+0)</f>
        <v>463624</v>
      </c>
      <c r="F218" s="3">
        <f>128</f>
        <v>128</v>
      </c>
      <c r="G218" s="3">
        <f>440983</f>
        <v>440983</v>
      </c>
      <c r="H218" s="3">
        <f>(128+440983)</f>
        <v>441111</v>
      </c>
      <c r="I218" s="3">
        <f>((463624+0+0)-(128+440983))</f>
        <v>22513</v>
      </c>
    </row>
    <row r="219" spans="1:9" ht="14" x14ac:dyDescent="0.3">
      <c r="A219" s="2" t="s">
        <v>25</v>
      </c>
      <c r="B219" s="3">
        <f>114408</f>
        <v>114408</v>
      </c>
      <c r="C219" s="3">
        <f>0</f>
        <v>0</v>
      </c>
      <c r="D219" s="3">
        <f>0</f>
        <v>0</v>
      </c>
      <c r="E219" s="3">
        <f>(114408+0+0)</f>
        <v>114408</v>
      </c>
      <c r="F219" s="3">
        <f>0</f>
        <v>0</v>
      </c>
      <c r="G219" s="3">
        <f>25303</f>
        <v>25303</v>
      </c>
      <c r="H219" s="3">
        <f>(0+25303)</f>
        <v>25303</v>
      </c>
      <c r="I219" s="3">
        <f>((114408+0+0)-(0+25303))</f>
        <v>89105</v>
      </c>
    </row>
    <row r="220" spans="1:9" ht="14" x14ac:dyDescent="0.3">
      <c r="A220" s="2" t="s">
        <v>26</v>
      </c>
      <c r="B220" s="3">
        <f>141266</f>
        <v>141266</v>
      </c>
      <c r="C220" s="3">
        <f>0</f>
        <v>0</v>
      </c>
      <c r="D220" s="3">
        <f>0</f>
        <v>0</v>
      </c>
      <c r="E220" s="3">
        <f>(141266+0+0)</f>
        <v>141266</v>
      </c>
      <c r="F220" s="3">
        <f>0</f>
        <v>0</v>
      </c>
      <c r="G220" s="3">
        <f>215</f>
        <v>215</v>
      </c>
      <c r="H220" s="3">
        <f>(0+215)</f>
        <v>215</v>
      </c>
      <c r="I220" s="3">
        <f>((141266+0+0)-(0+215))</f>
        <v>141051</v>
      </c>
    </row>
    <row r="221" spans="1:9" ht="14" x14ac:dyDescent="0.3">
      <c r="A221" s="5" t="s">
        <v>37</v>
      </c>
      <c r="B221" s="5"/>
      <c r="C221" s="5"/>
      <c r="D221" s="5"/>
      <c r="E221" s="5"/>
      <c r="F221" s="5"/>
      <c r="G221" s="5"/>
      <c r="H221" s="5"/>
      <c r="I221" s="5"/>
    </row>
    <row r="222" spans="1:9" ht="14" x14ac:dyDescent="0.3">
      <c r="A222" s="4" t="s">
        <v>1</v>
      </c>
      <c r="B222" s="1" t="s">
        <v>2</v>
      </c>
      <c r="C222" s="1" t="s">
        <v>3</v>
      </c>
      <c r="D222" s="1" t="s">
        <v>4</v>
      </c>
      <c r="E222" s="1" t="s">
        <v>5</v>
      </c>
      <c r="F222" s="1" t="s">
        <v>6</v>
      </c>
      <c r="G222" s="1" t="s">
        <v>7</v>
      </c>
      <c r="H222" s="1" t="s">
        <v>8</v>
      </c>
      <c r="I222" s="1" t="s">
        <v>9</v>
      </c>
    </row>
    <row r="223" spans="1:9" ht="14" x14ac:dyDescent="0.3">
      <c r="A223" s="4"/>
      <c r="B223" s="1">
        <v>2023</v>
      </c>
      <c r="C223" s="1">
        <v>2023</v>
      </c>
      <c r="D223" s="1">
        <v>2023</v>
      </c>
      <c r="E223" s="1">
        <v>2023</v>
      </c>
      <c r="F223" s="1">
        <v>2023</v>
      </c>
      <c r="G223" s="1">
        <v>2023</v>
      </c>
      <c r="H223" s="1">
        <v>2023</v>
      </c>
      <c r="I223" s="1">
        <v>2023</v>
      </c>
    </row>
    <row r="224" spans="1:9" ht="14" x14ac:dyDescent="0.3">
      <c r="A224" s="2" t="s">
        <v>10</v>
      </c>
      <c r="B224" s="3">
        <f>5005024</f>
        <v>5005024</v>
      </c>
      <c r="C224" s="3">
        <f>0</f>
        <v>0</v>
      </c>
      <c r="D224" s="3">
        <f>0</f>
        <v>0</v>
      </c>
      <c r="E224" s="3">
        <f>(5005024+0+0)</f>
        <v>5005024</v>
      </c>
      <c r="F224" s="3">
        <f>0</f>
        <v>0</v>
      </c>
      <c r="G224" s="3">
        <f>1627463</f>
        <v>1627463</v>
      </c>
      <c r="H224" s="3">
        <f>(0+1627463)</f>
        <v>1627463</v>
      </c>
      <c r="I224" s="3">
        <f>((5005024+0+0)-(0+1627463))</f>
        <v>3377561</v>
      </c>
    </row>
    <row r="225" spans="1:9" ht="14" x14ac:dyDescent="0.3">
      <c r="A225" s="2" t="s">
        <v>11</v>
      </c>
      <c r="B225" s="3">
        <f>2837805</f>
        <v>2837805</v>
      </c>
      <c r="C225" s="3">
        <f>0</f>
        <v>0</v>
      </c>
      <c r="D225" s="3">
        <f>0</f>
        <v>0</v>
      </c>
      <c r="E225" s="3">
        <f>(2837805+0+0)</f>
        <v>2837805</v>
      </c>
      <c r="F225" s="3">
        <f>0</f>
        <v>0</v>
      </c>
      <c r="G225" s="3">
        <f>1615463</f>
        <v>1615463</v>
      </c>
      <c r="H225" s="3">
        <f>(0+1615463)</f>
        <v>1615463</v>
      </c>
      <c r="I225" s="3">
        <f>((2837805+0+0)-(0+1615463))</f>
        <v>1222342</v>
      </c>
    </row>
    <row r="226" spans="1:9" ht="14" x14ac:dyDescent="0.3">
      <c r="A226" s="2" t="s">
        <v>12</v>
      </c>
      <c r="B226" s="3">
        <f>2072313</f>
        <v>2072313</v>
      </c>
      <c r="C226" s="3">
        <f>0</f>
        <v>0</v>
      </c>
      <c r="D226" s="3">
        <f>0</f>
        <v>0</v>
      </c>
      <c r="E226" s="3">
        <f>(2072313+0+0)</f>
        <v>2072313</v>
      </c>
      <c r="F226" s="3">
        <f>0</f>
        <v>0</v>
      </c>
      <c r="G226" s="3">
        <f>1231770</f>
        <v>1231770</v>
      </c>
      <c r="H226" s="3">
        <f>(0+1231770)</f>
        <v>1231770</v>
      </c>
      <c r="I226" s="3">
        <f>((2072313+0+0)-(0+1231770))</f>
        <v>840543</v>
      </c>
    </row>
    <row r="227" spans="1:9" ht="14" x14ac:dyDescent="0.3">
      <c r="A227" s="2" t="s">
        <v>13</v>
      </c>
      <c r="B227" s="3">
        <f>2077016</f>
        <v>2077016</v>
      </c>
      <c r="C227" s="3">
        <f>141800</f>
        <v>141800</v>
      </c>
      <c r="D227" s="3">
        <f>0</f>
        <v>0</v>
      </c>
      <c r="E227" s="3">
        <f>(2077016+141800+0)</f>
        <v>2218816</v>
      </c>
      <c r="F227" s="3">
        <f>0</f>
        <v>0</v>
      </c>
      <c r="G227" s="3">
        <f>0</f>
        <v>0</v>
      </c>
      <c r="H227" s="3">
        <f>(0+0)</f>
        <v>0</v>
      </c>
      <c r="I227" s="3">
        <f>((2077016+141800+0)-(0+0))</f>
        <v>2218816</v>
      </c>
    </row>
    <row r="228" spans="1:9" ht="14" x14ac:dyDescent="0.3">
      <c r="A228" s="2" t="s">
        <v>14</v>
      </c>
      <c r="B228" s="3">
        <f>102805833</f>
        <v>102805833</v>
      </c>
      <c r="C228" s="3">
        <f>0</f>
        <v>0</v>
      </c>
      <c r="D228" s="3">
        <f>0</f>
        <v>0</v>
      </c>
      <c r="E228" s="3">
        <f>(102805833+0+0)</f>
        <v>102805833</v>
      </c>
      <c r="F228" s="3">
        <f>0</f>
        <v>0</v>
      </c>
      <c r="G228" s="3">
        <f>23192860</f>
        <v>23192860</v>
      </c>
      <c r="H228" s="3">
        <f>(0+23192860)</f>
        <v>23192860</v>
      </c>
      <c r="I228" s="3">
        <f>((102805833+0+0)-(0+23192860))</f>
        <v>79612973</v>
      </c>
    </row>
    <row r="229" spans="1:9" ht="14" x14ac:dyDescent="0.3">
      <c r="A229" s="2" t="s">
        <v>15</v>
      </c>
      <c r="B229" s="3">
        <f>14024987</f>
        <v>14024987</v>
      </c>
      <c r="C229" s="3">
        <f>0</f>
        <v>0</v>
      </c>
      <c r="D229" s="3">
        <f>0</f>
        <v>0</v>
      </c>
      <c r="E229" s="3">
        <f>(14024987+0+0)</f>
        <v>14024987</v>
      </c>
      <c r="F229" s="3">
        <f>0</f>
        <v>0</v>
      </c>
      <c r="G229" s="3">
        <f>4447595</f>
        <v>4447595</v>
      </c>
      <c r="H229" s="3">
        <f>(0+4447595)</f>
        <v>4447595</v>
      </c>
      <c r="I229" s="3">
        <f>((14024987+0+0)-(0+4447595))</f>
        <v>9577392</v>
      </c>
    </row>
    <row r="230" spans="1:9" ht="14" x14ac:dyDescent="0.3">
      <c r="A230" s="2" t="s">
        <v>16</v>
      </c>
      <c r="B230" s="3">
        <f>5819127</f>
        <v>5819127</v>
      </c>
      <c r="C230" s="3">
        <f>0</f>
        <v>0</v>
      </c>
      <c r="D230" s="3">
        <f>0</f>
        <v>0</v>
      </c>
      <c r="E230" s="3">
        <f>(5819127+0+0)</f>
        <v>5819127</v>
      </c>
      <c r="F230" s="3">
        <f>65165</f>
        <v>65165</v>
      </c>
      <c r="G230" s="3">
        <f>1886134</f>
        <v>1886134</v>
      </c>
      <c r="H230" s="3">
        <f>(65165+1886134)</f>
        <v>1951299</v>
      </c>
      <c r="I230" s="3">
        <f>((5819127+0+0)-(65165+1886134))</f>
        <v>3867828</v>
      </c>
    </row>
    <row r="231" spans="1:9" ht="14" x14ac:dyDescent="0.3">
      <c r="A231" s="2" t="s">
        <v>17</v>
      </c>
      <c r="B231" s="3">
        <f>0</f>
        <v>0</v>
      </c>
      <c r="C231" s="3">
        <f>0</f>
        <v>0</v>
      </c>
      <c r="D231" s="3">
        <f>0</f>
        <v>0</v>
      </c>
      <c r="E231" s="3">
        <f>(0+0+0)</f>
        <v>0</v>
      </c>
      <c r="F231" s="3">
        <f>0</f>
        <v>0</v>
      </c>
      <c r="G231" s="3">
        <f>0</f>
        <v>0</v>
      </c>
      <c r="H231" s="3">
        <f>(0+0)</f>
        <v>0</v>
      </c>
      <c r="I231" s="3">
        <f>((0+0+0)-(0+0))</f>
        <v>0</v>
      </c>
    </row>
    <row r="232" spans="1:9" ht="14" x14ac:dyDescent="0.3">
      <c r="A232" s="2" t="s">
        <v>18</v>
      </c>
      <c r="B232" s="3">
        <f>1152947</f>
        <v>1152947</v>
      </c>
      <c r="C232" s="3">
        <f>0</f>
        <v>0</v>
      </c>
      <c r="D232" s="3">
        <f>0</f>
        <v>0</v>
      </c>
      <c r="E232" s="3">
        <f>(1152947+0+0)</f>
        <v>1152947</v>
      </c>
      <c r="F232" s="3">
        <f>0</f>
        <v>0</v>
      </c>
      <c r="G232" s="3">
        <f>8730</f>
        <v>8730</v>
      </c>
      <c r="H232" s="3">
        <f>(0+8730)</f>
        <v>8730</v>
      </c>
      <c r="I232" s="3">
        <f>((1152947+0+0)-(0+8730))</f>
        <v>1144217</v>
      </c>
    </row>
    <row r="233" spans="1:9" ht="14" x14ac:dyDescent="0.3">
      <c r="A233" s="2" t="s">
        <v>19</v>
      </c>
      <c r="B233" s="3">
        <f>1195565</f>
        <v>1195565</v>
      </c>
      <c r="C233" s="3">
        <f>11109</f>
        <v>11109</v>
      </c>
      <c r="D233" s="3">
        <f>0</f>
        <v>0</v>
      </c>
      <c r="E233" s="3">
        <f>(1195565+11109+0)</f>
        <v>1206674</v>
      </c>
      <c r="F233" s="3">
        <f>0</f>
        <v>0</v>
      </c>
      <c r="G233" s="3">
        <f>863923</f>
        <v>863923</v>
      </c>
      <c r="H233" s="3">
        <f>(0+863923)</f>
        <v>863923</v>
      </c>
      <c r="I233" s="3">
        <f>((1195565+11109+0)-(0+863923))</f>
        <v>342751</v>
      </c>
    </row>
    <row r="234" spans="1:9" ht="14" x14ac:dyDescent="0.3">
      <c r="A234" s="2" t="s">
        <v>20</v>
      </c>
      <c r="B234" s="3">
        <f>873167</f>
        <v>873167</v>
      </c>
      <c r="C234" s="3">
        <f>0</f>
        <v>0</v>
      </c>
      <c r="D234" s="3">
        <f>0</f>
        <v>0</v>
      </c>
      <c r="E234" s="3">
        <f>(873167+0+0)</f>
        <v>873167</v>
      </c>
      <c r="F234" s="3">
        <f>0</f>
        <v>0</v>
      </c>
      <c r="G234" s="3">
        <f>630808</f>
        <v>630808</v>
      </c>
      <c r="H234" s="3">
        <f>(0+630808)</f>
        <v>630808</v>
      </c>
      <c r="I234" s="3">
        <f>((873167+0+0)-(0+630808))</f>
        <v>242359</v>
      </c>
    </row>
    <row r="235" spans="1:9" ht="14" x14ac:dyDescent="0.3">
      <c r="A235" s="2" t="s">
        <v>21</v>
      </c>
      <c r="B235" s="3">
        <f>2360176</f>
        <v>2360176</v>
      </c>
      <c r="C235" s="3">
        <f>0</f>
        <v>0</v>
      </c>
      <c r="D235" s="3">
        <f>0</f>
        <v>0</v>
      </c>
      <c r="E235" s="3">
        <f>(2360176+0+0)</f>
        <v>2360176</v>
      </c>
      <c r="F235" s="3">
        <f>0</f>
        <v>0</v>
      </c>
      <c r="G235" s="3">
        <f>85689</f>
        <v>85689</v>
      </c>
      <c r="H235" s="3">
        <f>(0+85689)</f>
        <v>85689</v>
      </c>
      <c r="I235" s="3">
        <f>((2360176+0+0)-(0+85689))</f>
        <v>2274487</v>
      </c>
    </row>
    <row r="236" spans="1:9" ht="14" x14ac:dyDescent="0.3">
      <c r="A236" s="2" t="s">
        <v>22</v>
      </c>
      <c r="B236" s="3">
        <f>3307599</f>
        <v>3307599</v>
      </c>
      <c r="C236" s="3">
        <f>0</f>
        <v>0</v>
      </c>
      <c r="D236" s="3">
        <f>0</f>
        <v>0</v>
      </c>
      <c r="E236" s="3">
        <f>(3307599+0+0)</f>
        <v>3307599</v>
      </c>
      <c r="F236" s="3">
        <f>0</f>
        <v>0</v>
      </c>
      <c r="G236" s="3">
        <f>1428763</f>
        <v>1428763</v>
      </c>
      <c r="H236" s="3">
        <f>(0+1428763)</f>
        <v>1428763</v>
      </c>
      <c r="I236" s="3">
        <f>((3307599+0+0)-(0+1428763))</f>
        <v>1878836</v>
      </c>
    </row>
    <row r="237" spans="1:9" ht="14" x14ac:dyDescent="0.3">
      <c r="A237" s="2" t="s">
        <v>23</v>
      </c>
      <c r="B237" s="3">
        <f>2104392</f>
        <v>2104392</v>
      </c>
      <c r="C237" s="3">
        <f>0</f>
        <v>0</v>
      </c>
      <c r="D237" s="3">
        <f>0</f>
        <v>0</v>
      </c>
      <c r="E237" s="3">
        <f>(2104392+0+0)</f>
        <v>2104392</v>
      </c>
      <c r="F237" s="3">
        <f>0</f>
        <v>0</v>
      </c>
      <c r="G237" s="3">
        <f>117107</f>
        <v>117107</v>
      </c>
      <c r="H237" s="3">
        <f>(0+117107)</f>
        <v>117107</v>
      </c>
      <c r="I237" s="3">
        <f>((2104392+0+0)-(0+117107))</f>
        <v>1987285</v>
      </c>
    </row>
    <row r="238" spans="1:9" ht="14" x14ac:dyDescent="0.3">
      <c r="A238" s="2" t="s">
        <v>24</v>
      </c>
      <c r="B238" s="3">
        <f>1563027</f>
        <v>1563027</v>
      </c>
      <c r="C238" s="3">
        <f>0</f>
        <v>0</v>
      </c>
      <c r="D238" s="3">
        <f>0</f>
        <v>0</v>
      </c>
      <c r="E238" s="3">
        <f>(1563027+0+0)</f>
        <v>1563027</v>
      </c>
      <c r="F238" s="3">
        <f>0</f>
        <v>0</v>
      </c>
      <c r="G238" s="3">
        <f>763856</f>
        <v>763856</v>
      </c>
      <c r="H238" s="3">
        <f>(0+763856)</f>
        <v>763856</v>
      </c>
      <c r="I238" s="3">
        <f>((1563027+0+0)-(0+763856))</f>
        <v>799171</v>
      </c>
    </row>
    <row r="239" spans="1:9" ht="14" x14ac:dyDescent="0.3">
      <c r="A239" s="2" t="s">
        <v>25</v>
      </c>
      <c r="B239" s="3">
        <f>21500598</f>
        <v>21500598</v>
      </c>
      <c r="C239" s="3">
        <f>0</f>
        <v>0</v>
      </c>
      <c r="D239" s="3">
        <f>0</f>
        <v>0</v>
      </c>
      <c r="E239" s="3">
        <f>(21500598+0+0)</f>
        <v>21500598</v>
      </c>
      <c r="F239" s="3">
        <f>0</f>
        <v>0</v>
      </c>
      <c r="G239" s="3">
        <f>3724</f>
        <v>3724</v>
      </c>
      <c r="H239" s="3">
        <f>(0+3724)</f>
        <v>3724</v>
      </c>
      <c r="I239" s="3">
        <f>((21500598+0+0)-(0+3724))</f>
        <v>21496874</v>
      </c>
    </row>
    <row r="240" spans="1:9" ht="14" x14ac:dyDescent="0.3">
      <c r="A240" s="2" t="s">
        <v>26</v>
      </c>
      <c r="B240" s="3">
        <f>2734830</f>
        <v>2734830</v>
      </c>
      <c r="C240" s="3">
        <f>0</f>
        <v>0</v>
      </c>
      <c r="D240" s="3">
        <f>0</f>
        <v>0</v>
      </c>
      <c r="E240" s="3">
        <f>(2734830+0+0)</f>
        <v>2734830</v>
      </c>
      <c r="F240" s="3">
        <f>0</f>
        <v>0</v>
      </c>
      <c r="G240" s="3">
        <f>166186</f>
        <v>166186</v>
      </c>
      <c r="H240" s="3">
        <f>(0+166186)</f>
        <v>166186</v>
      </c>
      <c r="I240" s="3">
        <f>((2734830+0+0)-(0+166186))</f>
        <v>2568644</v>
      </c>
    </row>
    <row r="241" spans="1:9" ht="14" x14ac:dyDescent="0.3">
      <c r="A241" s="5" t="s">
        <v>38</v>
      </c>
      <c r="B241" s="5"/>
      <c r="C241" s="5"/>
      <c r="D241" s="5"/>
      <c r="E241" s="5"/>
      <c r="F241" s="5"/>
      <c r="G241" s="5"/>
      <c r="H241" s="5"/>
      <c r="I241" s="5"/>
    </row>
    <row r="242" spans="1:9" ht="14" x14ac:dyDescent="0.3">
      <c r="A242" s="4" t="s">
        <v>1</v>
      </c>
      <c r="B242" s="1" t="s">
        <v>2</v>
      </c>
      <c r="C242" s="1" t="s">
        <v>3</v>
      </c>
      <c r="D242" s="1" t="s">
        <v>4</v>
      </c>
      <c r="E242" s="1" t="s">
        <v>5</v>
      </c>
      <c r="F242" s="1" t="s">
        <v>6</v>
      </c>
      <c r="G242" s="1" t="s">
        <v>7</v>
      </c>
      <c r="H242" s="1" t="s">
        <v>8</v>
      </c>
      <c r="I242" s="1" t="s">
        <v>9</v>
      </c>
    </row>
    <row r="243" spans="1:9" ht="14" x14ac:dyDescent="0.3">
      <c r="A243" s="4"/>
      <c r="B243" s="1">
        <v>2023</v>
      </c>
      <c r="C243" s="1">
        <v>2023</v>
      </c>
      <c r="D243" s="1">
        <v>2023</v>
      </c>
      <c r="E243" s="1">
        <v>2023</v>
      </c>
      <c r="F243" s="1">
        <v>2023</v>
      </c>
      <c r="G243" s="1">
        <v>2023</v>
      </c>
      <c r="H243" s="1">
        <v>2023</v>
      </c>
      <c r="I243" s="1">
        <v>2023</v>
      </c>
    </row>
    <row r="244" spans="1:9" ht="14" x14ac:dyDescent="0.3">
      <c r="A244" s="2" t="s">
        <v>10</v>
      </c>
      <c r="B244" s="3">
        <f>221178</f>
        <v>221178</v>
      </c>
      <c r="C244" s="3">
        <f>0</f>
        <v>0</v>
      </c>
      <c r="D244" s="3">
        <f>0</f>
        <v>0</v>
      </c>
      <c r="E244" s="3">
        <f>(221178+0+0)</f>
        <v>221178</v>
      </c>
      <c r="F244" s="3">
        <f>0</f>
        <v>0</v>
      </c>
      <c r="G244" s="3">
        <f>4848137</f>
        <v>4848137</v>
      </c>
      <c r="H244" s="3">
        <f>(0+4848137)</f>
        <v>4848137</v>
      </c>
      <c r="I244" s="3">
        <f>((221178+0+0)-(0+4848137))</f>
        <v>-4626959</v>
      </c>
    </row>
    <row r="245" spans="1:9" ht="14" x14ac:dyDescent="0.3">
      <c r="A245" s="2" t="s">
        <v>11</v>
      </c>
      <c r="B245" s="3">
        <f>421064</f>
        <v>421064</v>
      </c>
      <c r="C245" s="3">
        <f>0</f>
        <v>0</v>
      </c>
      <c r="D245" s="3">
        <f>0</f>
        <v>0</v>
      </c>
      <c r="E245" s="3">
        <f>(421064+0+0)</f>
        <v>421064</v>
      </c>
      <c r="F245" s="3">
        <f>0</f>
        <v>0</v>
      </c>
      <c r="G245" s="3">
        <f>(-48)</f>
        <v>-48</v>
      </c>
      <c r="H245" s="3">
        <f>(0+(-48))</f>
        <v>-48</v>
      </c>
      <c r="I245" s="3">
        <f>((421064+0+0)-(0+(-48)))</f>
        <v>421112</v>
      </c>
    </row>
    <row r="246" spans="1:9" ht="14" x14ac:dyDescent="0.3">
      <c r="A246" s="2" t="s">
        <v>12</v>
      </c>
      <c r="B246" s="3">
        <f>1280934</f>
        <v>1280934</v>
      </c>
      <c r="C246" s="3">
        <f>0</f>
        <v>0</v>
      </c>
      <c r="D246" s="3">
        <f>0</f>
        <v>0</v>
      </c>
      <c r="E246" s="3">
        <f>(1280934+0+0)</f>
        <v>1280934</v>
      </c>
      <c r="F246" s="3">
        <f>0</f>
        <v>0</v>
      </c>
      <c r="G246" s="3">
        <f>565322</f>
        <v>565322</v>
      </c>
      <c r="H246" s="3">
        <f>(0+565322)</f>
        <v>565322</v>
      </c>
      <c r="I246" s="3">
        <f>((1280934+0+0)-(0+565322))</f>
        <v>715612</v>
      </c>
    </row>
    <row r="247" spans="1:9" ht="14" x14ac:dyDescent="0.3">
      <c r="A247" s="2" t="s">
        <v>13</v>
      </c>
      <c r="B247" s="3">
        <f>215146</f>
        <v>215146</v>
      </c>
      <c r="C247" s="3">
        <f>0</f>
        <v>0</v>
      </c>
      <c r="D247" s="3">
        <f>0</f>
        <v>0</v>
      </c>
      <c r="E247" s="3">
        <f>(215146+0+0)</f>
        <v>215146</v>
      </c>
      <c r="F247" s="3">
        <f>0</f>
        <v>0</v>
      </c>
      <c r="G247" s="3">
        <f>0</f>
        <v>0</v>
      </c>
      <c r="H247" s="3">
        <f>(0+0)</f>
        <v>0</v>
      </c>
      <c r="I247" s="3">
        <f>((215146+0+0)-(0+0))</f>
        <v>215146</v>
      </c>
    </row>
    <row r="248" spans="1:9" ht="14" x14ac:dyDescent="0.3">
      <c r="A248" s="2" t="s">
        <v>14</v>
      </c>
      <c r="B248" s="3">
        <f>26162</f>
        <v>26162</v>
      </c>
      <c r="C248" s="3">
        <f>0</f>
        <v>0</v>
      </c>
      <c r="D248" s="3">
        <f>0</f>
        <v>0</v>
      </c>
      <c r="E248" s="3">
        <f>(26162+0+0)</f>
        <v>26162</v>
      </c>
      <c r="F248" s="3">
        <f>1306</f>
        <v>1306</v>
      </c>
      <c r="G248" s="3">
        <f>11268</f>
        <v>11268</v>
      </c>
      <c r="H248" s="3">
        <f>(1306+11268)</f>
        <v>12574</v>
      </c>
      <c r="I248" s="3">
        <f>((26162+0+0)-(1306+11268))</f>
        <v>13588</v>
      </c>
    </row>
    <row r="249" spans="1:9" ht="14" x14ac:dyDescent="0.3">
      <c r="A249" s="2" t="s">
        <v>15</v>
      </c>
      <c r="B249" s="3">
        <f>129683</f>
        <v>129683</v>
      </c>
      <c r="C249" s="3">
        <f>0</f>
        <v>0</v>
      </c>
      <c r="D249" s="3">
        <f>0</f>
        <v>0</v>
      </c>
      <c r="E249" s="3">
        <f>(129683+0+0)</f>
        <v>129683</v>
      </c>
      <c r="F249" s="3">
        <f>0</f>
        <v>0</v>
      </c>
      <c r="G249" s="3">
        <f>34912</f>
        <v>34912</v>
      </c>
      <c r="H249" s="3">
        <f>(0+34912)</f>
        <v>34912</v>
      </c>
      <c r="I249" s="3">
        <f>((129683+0+0)-(0+34912))</f>
        <v>94771</v>
      </c>
    </row>
    <row r="250" spans="1:9" ht="14" x14ac:dyDescent="0.3">
      <c r="A250" s="2" t="s">
        <v>16</v>
      </c>
      <c r="B250" s="3">
        <f>1291</f>
        <v>1291</v>
      </c>
      <c r="C250" s="3">
        <f>0</f>
        <v>0</v>
      </c>
      <c r="D250" s="3">
        <f>0</f>
        <v>0</v>
      </c>
      <c r="E250" s="3">
        <f>(1291+0+0)</f>
        <v>1291</v>
      </c>
      <c r="F250" s="3">
        <f>84</f>
        <v>84</v>
      </c>
      <c r="G250" s="3">
        <f>724</f>
        <v>724</v>
      </c>
      <c r="H250" s="3">
        <f>(84+724)</f>
        <v>808</v>
      </c>
      <c r="I250" s="3">
        <f>((1291+0+0)-(84+724))</f>
        <v>483</v>
      </c>
    </row>
    <row r="251" spans="1:9" ht="14" x14ac:dyDescent="0.3">
      <c r="A251" s="2" t="s">
        <v>17</v>
      </c>
      <c r="B251" s="3">
        <f>1497</f>
        <v>1497</v>
      </c>
      <c r="C251" s="3">
        <f>0</f>
        <v>0</v>
      </c>
      <c r="D251" s="3">
        <f>0</f>
        <v>0</v>
      </c>
      <c r="E251" s="3">
        <f>(1497+0+0)</f>
        <v>1497</v>
      </c>
      <c r="F251" s="3">
        <f>0</f>
        <v>0</v>
      </c>
      <c r="G251" s="3">
        <f>0</f>
        <v>0</v>
      </c>
      <c r="H251" s="3">
        <f>(0+0)</f>
        <v>0</v>
      </c>
      <c r="I251" s="3">
        <f>((1497+0+0)-(0+0))</f>
        <v>1497</v>
      </c>
    </row>
    <row r="252" spans="1:9" ht="14" x14ac:dyDescent="0.3">
      <c r="A252" s="2" t="s">
        <v>18</v>
      </c>
      <c r="B252" s="3">
        <f>0</f>
        <v>0</v>
      </c>
      <c r="C252" s="3">
        <f>0</f>
        <v>0</v>
      </c>
      <c r="D252" s="3">
        <f>0</f>
        <v>0</v>
      </c>
      <c r="E252" s="3">
        <f>(0+0+0)</f>
        <v>0</v>
      </c>
      <c r="F252" s="3">
        <f>0</f>
        <v>0</v>
      </c>
      <c r="G252" s="3">
        <f>0</f>
        <v>0</v>
      </c>
      <c r="H252" s="3">
        <f>(0+0)</f>
        <v>0</v>
      </c>
      <c r="I252" s="3">
        <f>((0+0+0)-(0+0))</f>
        <v>0</v>
      </c>
    </row>
    <row r="253" spans="1:9" ht="14" x14ac:dyDescent="0.3">
      <c r="A253" s="2" t="s">
        <v>19</v>
      </c>
      <c r="B253" s="3">
        <f>14137</f>
        <v>14137</v>
      </c>
      <c r="C253" s="3">
        <f>0</f>
        <v>0</v>
      </c>
      <c r="D253" s="3">
        <f>0</f>
        <v>0</v>
      </c>
      <c r="E253" s="3">
        <f>(14137+0+0)</f>
        <v>14137</v>
      </c>
      <c r="F253" s="3">
        <f>0</f>
        <v>0</v>
      </c>
      <c r="G253" s="3">
        <f>8658</f>
        <v>8658</v>
      </c>
      <c r="H253" s="3">
        <f>(0+8658)</f>
        <v>8658</v>
      </c>
      <c r="I253" s="3">
        <f>((14137+0+0)-(0+8658))</f>
        <v>5479</v>
      </c>
    </row>
    <row r="254" spans="1:9" ht="14" x14ac:dyDescent="0.3">
      <c r="A254" s="2" t="s">
        <v>20</v>
      </c>
      <c r="B254" s="3">
        <f>18690</f>
        <v>18690</v>
      </c>
      <c r="C254" s="3">
        <f>95025</f>
        <v>95025</v>
      </c>
      <c r="D254" s="3">
        <f>0</f>
        <v>0</v>
      </c>
      <c r="E254" s="3">
        <f>(18690+95025+0)</f>
        <v>113715</v>
      </c>
      <c r="F254" s="3">
        <f>0</f>
        <v>0</v>
      </c>
      <c r="G254" s="3">
        <f>35185</f>
        <v>35185</v>
      </c>
      <c r="H254" s="3">
        <f>(0+35185)</f>
        <v>35185</v>
      </c>
      <c r="I254" s="3">
        <f>((18690+95025+0)-(0+35185))</f>
        <v>78530</v>
      </c>
    </row>
    <row r="255" spans="1:9" ht="14" x14ac:dyDescent="0.3">
      <c r="A255" s="2" t="s">
        <v>21</v>
      </c>
      <c r="B255" s="3">
        <f>0</f>
        <v>0</v>
      </c>
      <c r="C255" s="3">
        <f>0</f>
        <v>0</v>
      </c>
      <c r="D255" s="3">
        <f>0</f>
        <v>0</v>
      </c>
      <c r="E255" s="3">
        <f>(0+0+0)</f>
        <v>0</v>
      </c>
      <c r="F255" s="3">
        <f>0</f>
        <v>0</v>
      </c>
      <c r="G255" s="3">
        <f>0</f>
        <v>0</v>
      </c>
      <c r="H255" s="3">
        <f>(0+0)</f>
        <v>0</v>
      </c>
      <c r="I255" s="3">
        <f>((0+0+0)-(0+0))</f>
        <v>0</v>
      </c>
    </row>
    <row r="256" spans="1:9" ht="14" x14ac:dyDescent="0.3">
      <c r="A256" s="2" t="s">
        <v>22</v>
      </c>
      <c r="B256" s="3">
        <f>1993793</f>
        <v>1993793</v>
      </c>
      <c r="C256" s="3">
        <f>0</f>
        <v>0</v>
      </c>
      <c r="D256" s="3">
        <f>0</f>
        <v>0</v>
      </c>
      <c r="E256" s="3">
        <f>(1993793+0+0)</f>
        <v>1993793</v>
      </c>
      <c r="F256" s="3">
        <f>73266</f>
        <v>73266</v>
      </c>
      <c r="G256" s="3">
        <f>1211180</f>
        <v>1211180</v>
      </c>
      <c r="H256" s="3">
        <f>(73266+1211180)</f>
        <v>1284446</v>
      </c>
      <c r="I256" s="3">
        <f>((1993793+0+0)-(73266+1211180))</f>
        <v>709347</v>
      </c>
    </row>
    <row r="257" spans="1:9" ht="14" x14ac:dyDescent="0.3">
      <c r="A257" s="2" t="s">
        <v>23</v>
      </c>
      <c r="B257" s="3">
        <f>2089675</f>
        <v>2089675</v>
      </c>
      <c r="C257" s="3">
        <f>0</f>
        <v>0</v>
      </c>
      <c r="D257" s="3">
        <f>0</f>
        <v>0</v>
      </c>
      <c r="E257" s="3">
        <f>(2089675+0+0)</f>
        <v>2089675</v>
      </c>
      <c r="F257" s="3">
        <f>2089674</f>
        <v>2089674</v>
      </c>
      <c r="G257" s="3">
        <f>0</f>
        <v>0</v>
      </c>
      <c r="H257" s="3">
        <f>(2089674+0)</f>
        <v>2089674</v>
      </c>
      <c r="I257" s="3">
        <f>((2089675+0+0)-(2089674+0))</f>
        <v>1</v>
      </c>
    </row>
    <row r="258" spans="1:9" ht="14" x14ac:dyDescent="0.3">
      <c r="A258" s="2" t="s">
        <v>24</v>
      </c>
      <c r="B258" s="3">
        <f>13839</f>
        <v>13839</v>
      </c>
      <c r="C258" s="3">
        <f>0</f>
        <v>0</v>
      </c>
      <c r="D258" s="3">
        <f>0</f>
        <v>0</v>
      </c>
      <c r="E258" s="3">
        <f>(13839+0+0)</f>
        <v>13839</v>
      </c>
      <c r="F258" s="3">
        <f>0</f>
        <v>0</v>
      </c>
      <c r="G258" s="3">
        <f>12335</f>
        <v>12335</v>
      </c>
      <c r="H258" s="3">
        <f>(0+12335)</f>
        <v>12335</v>
      </c>
      <c r="I258" s="3">
        <f>((13839+0+0)-(0+12335))</f>
        <v>1504</v>
      </c>
    </row>
    <row r="259" spans="1:9" ht="14" x14ac:dyDescent="0.3">
      <c r="A259" s="2" t="s">
        <v>25</v>
      </c>
      <c r="B259" s="3">
        <f>53394</f>
        <v>53394</v>
      </c>
      <c r="C259" s="3">
        <f>0</f>
        <v>0</v>
      </c>
      <c r="D259" s="3">
        <f>0</f>
        <v>0</v>
      </c>
      <c r="E259" s="3">
        <f>(53394+0+0)</f>
        <v>53394</v>
      </c>
      <c r="F259" s="3">
        <f>0</f>
        <v>0</v>
      </c>
      <c r="G259" s="3">
        <f>3455</f>
        <v>3455</v>
      </c>
      <c r="H259" s="3">
        <f>(0+3455)</f>
        <v>3455</v>
      </c>
      <c r="I259" s="3">
        <f>((53394+0+0)-(0+3455))</f>
        <v>49939</v>
      </c>
    </row>
    <row r="260" spans="1:9" ht="14" x14ac:dyDescent="0.3">
      <c r="A260" s="2" t="s">
        <v>26</v>
      </c>
      <c r="B260" s="3">
        <f>437160</f>
        <v>437160</v>
      </c>
      <c r="C260" s="3">
        <f>0</f>
        <v>0</v>
      </c>
      <c r="D260" s="3">
        <f>0</f>
        <v>0</v>
      </c>
      <c r="E260" s="3">
        <f>(437160+0+0)</f>
        <v>437160</v>
      </c>
      <c r="F260" s="3">
        <f>0</f>
        <v>0</v>
      </c>
      <c r="G260" s="3">
        <f>0</f>
        <v>0</v>
      </c>
      <c r="H260" s="3">
        <f>(0+0)</f>
        <v>0</v>
      </c>
      <c r="I260" s="3">
        <f>((437160+0+0)-(0+0))</f>
        <v>437160</v>
      </c>
    </row>
  </sheetData>
  <mergeCells count="26">
    <mergeCell ref="A241:I241"/>
    <mergeCell ref="A242:A243"/>
    <mergeCell ref="A1:I1"/>
    <mergeCell ref="A21:I21"/>
    <mergeCell ref="A41:I41"/>
    <mergeCell ref="A61:I61"/>
    <mergeCell ref="A81:I81"/>
    <mergeCell ref="A101:I101"/>
    <mergeCell ref="A121:I121"/>
    <mergeCell ref="A141:I141"/>
    <mergeCell ref="A161:I161"/>
    <mergeCell ref="A122:A123"/>
    <mergeCell ref="A142:A143"/>
    <mergeCell ref="A162:A163"/>
    <mergeCell ref="A182:A183"/>
    <mergeCell ref="A202:A203"/>
    <mergeCell ref="A222:A223"/>
    <mergeCell ref="A181:I181"/>
    <mergeCell ref="A201:I201"/>
    <mergeCell ref="A221:I221"/>
    <mergeCell ref="A2:A3"/>
    <mergeCell ref="A22:A23"/>
    <mergeCell ref="A42:A43"/>
    <mergeCell ref="A62:A63"/>
    <mergeCell ref="A82:A83"/>
    <mergeCell ref="A102:A10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البيانات الوصفية </vt:lpstr>
      <vt:lpstr>المتغيرات</vt:lpstr>
      <vt:lpstr>Insurance Financials Search Rep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Mohammed Saud Ali Alfarsi</dc:creator>
  <cp:lastModifiedBy>Mohammed Saud Ali Alfarsi</cp:lastModifiedBy>
  <dcterms:created xsi:type="dcterms:W3CDTF">2025-05-28T06:36:17Z</dcterms:created>
  <dcterms:modified xsi:type="dcterms:W3CDTF">2025-05-28T06:36:17Z</dcterms:modified>
</cp:coreProperties>
</file>