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4380" windowHeight="3820"/>
  </bookViews>
  <sheets>
    <sheet name="البيانات الوصفية " sheetId="3" r:id="rId1"/>
    <sheet name="المتغيرات" sheetId="4" r:id="rId2"/>
    <sheet name="Insurance Financials Search Rep" sheetId="2" r:id="rId3"/>
  </sheets>
  <calcPr calcId="162913"/>
</workbook>
</file>

<file path=xl/calcChain.xml><?xml version="1.0" encoding="utf-8"?>
<calcChain xmlns="http://schemas.openxmlformats.org/spreadsheetml/2006/main">
  <c r="I190" i="2" l="1"/>
  <c r="H190" i="2"/>
  <c r="G190" i="2"/>
  <c r="F190" i="2"/>
  <c r="E190" i="2"/>
  <c r="D190" i="2"/>
  <c r="C190" i="2"/>
  <c r="B190" i="2"/>
  <c r="I189" i="2"/>
  <c r="H189" i="2"/>
  <c r="G189" i="2"/>
  <c r="F189" i="2"/>
  <c r="E189" i="2"/>
  <c r="D189" i="2"/>
  <c r="C189" i="2"/>
  <c r="B189" i="2"/>
  <c r="I188" i="2"/>
  <c r="H188" i="2"/>
  <c r="G188" i="2"/>
  <c r="F188" i="2"/>
  <c r="E188" i="2"/>
  <c r="D188" i="2"/>
  <c r="C188" i="2"/>
  <c r="B188" i="2"/>
  <c r="I187" i="2"/>
  <c r="H187" i="2"/>
  <c r="G187" i="2"/>
  <c r="F187" i="2"/>
  <c r="E187" i="2"/>
  <c r="D187" i="2"/>
  <c r="C187" i="2"/>
  <c r="B187" i="2"/>
  <c r="I186" i="2"/>
  <c r="H186" i="2"/>
  <c r="G186" i="2"/>
  <c r="F186" i="2"/>
  <c r="E186" i="2"/>
  <c r="D186" i="2"/>
  <c r="C186" i="2"/>
  <c r="B186" i="2"/>
  <c r="I185" i="2"/>
  <c r="H185" i="2"/>
  <c r="G185" i="2"/>
  <c r="F185" i="2"/>
  <c r="E185" i="2"/>
  <c r="D185" i="2"/>
  <c r="C185" i="2"/>
  <c r="B185" i="2"/>
  <c r="I184" i="2"/>
  <c r="H184" i="2"/>
  <c r="G184" i="2"/>
  <c r="F184" i="2"/>
  <c r="E184" i="2"/>
  <c r="D184" i="2"/>
  <c r="C184" i="2"/>
  <c r="B184" i="2"/>
  <c r="I183" i="2"/>
  <c r="H183" i="2"/>
  <c r="G183" i="2"/>
  <c r="F183" i="2"/>
  <c r="E183" i="2"/>
  <c r="D183" i="2"/>
  <c r="C183" i="2"/>
  <c r="B183" i="2"/>
  <c r="I182" i="2"/>
  <c r="H182" i="2"/>
  <c r="G182" i="2"/>
  <c r="F182" i="2"/>
  <c r="E182" i="2"/>
  <c r="D182" i="2"/>
  <c r="C182" i="2"/>
  <c r="B182" i="2"/>
  <c r="I181" i="2"/>
  <c r="H181" i="2"/>
  <c r="G181" i="2"/>
  <c r="F181" i="2"/>
  <c r="E181" i="2"/>
  <c r="D181" i="2"/>
  <c r="C181" i="2"/>
  <c r="B181" i="2"/>
  <c r="I180" i="2"/>
  <c r="H180" i="2"/>
  <c r="G180" i="2"/>
  <c r="F180" i="2"/>
  <c r="E180" i="2"/>
  <c r="D180" i="2"/>
  <c r="C180" i="2"/>
  <c r="B180" i="2"/>
  <c r="I179" i="2"/>
  <c r="H179" i="2"/>
  <c r="G179" i="2"/>
  <c r="F179" i="2"/>
  <c r="E179" i="2"/>
  <c r="D179" i="2"/>
  <c r="C179" i="2"/>
  <c r="B179" i="2"/>
  <c r="I178" i="2"/>
  <c r="H178" i="2"/>
  <c r="G178" i="2"/>
  <c r="F178" i="2"/>
  <c r="E178" i="2"/>
  <c r="D178" i="2"/>
  <c r="C178" i="2"/>
  <c r="B178" i="2"/>
  <c r="I177" i="2"/>
  <c r="H177" i="2"/>
  <c r="G177" i="2"/>
  <c r="F177" i="2"/>
  <c r="E177" i="2"/>
  <c r="D177" i="2"/>
  <c r="C177" i="2"/>
  <c r="B177" i="2"/>
  <c r="I176" i="2"/>
  <c r="H176" i="2"/>
  <c r="G176" i="2"/>
  <c r="F176" i="2"/>
  <c r="E176" i="2"/>
  <c r="D176" i="2"/>
  <c r="C176" i="2"/>
  <c r="B176" i="2"/>
  <c r="I175" i="2"/>
  <c r="H175" i="2"/>
  <c r="G175" i="2"/>
  <c r="F175" i="2"/>
  <c r="E175" i="2"/>
  <c r="D175" i="2"/>
  <c r="C175" i="2"/>
  <c r="B175" i="2"/>
  <c r="I171" i="2"/>
  <c r="H171" i="2"/>
  <c r="G171" i="2"/>
  <c r="F171" i="2"/>
  <c r="E171" i="2"/>
  <c r="D171" i="2"/>
  <c r="C171" i="2"/>
  <c r="B171" i="2"/>
  <c r="I170" i="2"/>
  <c r="H170" i="2"/>
  <c r="G170" i="2"/>
  <c r="F170" i="2"/>
  <c r="E170" i="2"/>
  <c r="D170" i="2"/>
  <c r="C170" i="2"/>
  <c r="B170" i="2"/>
  <c r="I169" i="2"/>
  <c r="H169" i="2"/>
  <c r="G169" i="2"/>
  <c r="F169" i="2"/>
  <c r="E169" i="2"/>
  <c r="D169" i="2"/>
  <c r="C169" i="2"/>
  <c r="B169" i="2"/>
  <c r="I168" i="2"/>
  <c r="H168" i="2"/>
  <c r="G168" i="2"/>
  <c r="F168" i="2"/>
  <c r="E168" i="2"/>
  <c r="D168" i="2"/>
  <c r="C168" i="2"/>
  <c r="B168" i="2"/>
  <c r="I167" i="2"/>
  <c r="H167" i="2"/>
  <c r="G167" i="2"/>
  <c r="F167" i="2"/>
  <c r="E167" i="2"/>
  <c r="D167" i="2"/>
  <c r="C167" i="2"/>
  <c r="B167" i="2"/>
  <c r="I166" i="2"/>
  <c r="H166" i="2"/>
  <c r="G166" i="2"/>
  <c r="F166" i="2"/>
  <c r="E166" i="2"/>
  <c r="D166" i="2"/>
  <c r="C166" i="2"/>
  <c r="B166" i="2"/>
  <c r="I165" i="2"/>
  <c r="H165" i="2"/>
  <c r="G165" i="2"/>
  <c r="F165" i="2"/>
  <c r="E165" i="2"/>
  <c r="D165" i="2"/>
  <c r="C165" i="2"/>
  <c r="B165" i="2"/>
  <c r="I164" i="2"/>
  <c r="H164" i="2"/>
  <c r="G164" i="2"/>
  <c r="F164" i="2"/>
  <c r="E164" i="2"/>
  <c r="D164" i="2"/>
  <c r="C164" i="2"/>
  <c r="B164" i="2"/>
  <c r="I163" i="2"/>
  <c r="H163" i="2"/>
  <c r="G163" i="2"/>
  <c r="F163" i="2"/>
  <c r="E163" i="2"/>
  <c r="D163" i="2"/>
  <c r="C163" i="2"/>
  <c r="B163" i="2"/>
  <c r="I162" i="2"/>
  <c r="H162" i="2"/>
  <c r="G162" i="2"/>
  <c r="F162" i="2"/>
  <c r="E162" i="2"/>
  <c r="D162" i="2"/>
  <c r="C162" i="2"/>
  <c r="B162" i="2"/>
  <c r="I161" i="2"/>
  <c r="H161" i="2"/>
  <c r="G161" i="2"/>
  <c r="F161" i="2"/>
  <c r="E161" i="2"/>
  <c r="D161" i="2"/>
  <c r="C161" i="2"/>
  <c r="B161" i="2"/>
  <c r="I160" i="2"/>
  <c r="H160" i="2"/>
  <c r="G160" i="2"/>
  <c r="F160" i="2"/>
  <c r="E160" i="2"/>
  <c r="D160" i="2"/>
  <c r="C160" i="2"/>
  <c r="B160" i="2"/>
  <c r="I159" i="2"/>
  <c r="H159" i="2"/>
  <c r="G159" i="2"/>
  <c r="F159" i="2"/>
  <c r="E159" i="2"/>
  <c r="D159" i="2"/>
  <c r="C159" i="2"/>
  <c r="B159" i="2"/>
  <c r="I158" i="2"/>
  <c r="H158" i="2"/>
  <c r="G158" i="2"/>
  <c r="F158" i="2"/>
  <c r="E158" i="2"/>
  <c r="D158" i="2"/>
  <c r="C158" i="2"/>
  <c r="B158" i="2"/>
  <c r="I157" i="2"/>
  <c r="H157" i="2"/>
  <c r="G157" i="2"/>
  <c r="F157" i="2"/>
  <c r="E157" i="2"/>
  <c r="D157" i="2"/>
  <c r="C157" i="2"/>
  <c r="B157" i="2"/>
  <c r="I156" i="2"/>
  <c r="H156" i="2"/>
  <c r="G156" i="2"/>
  <c r="F156" i="2"/>
  <c r="E156" i="2"/>
  <c r="D156" i="2"/>
  <c r="C156" i="2"/>
  <c r="B156" i="2"/>
  <c r="I152" i="2"/>
  <c r="H152" i="2"/>
  <c r="G152" i="2"/>
  <c r="F152" i="2"/>
  <c r="E152" i="2"/>
  <c r="D152" i="2"/>
  <c r="C152" i="2"/>
  <c r="B152" i="2"/>
  <c r="I151" i="2"/>
  <c r="H151" i="2"/>
  <c r="G151" i="2"/>
  <c r="F151" i="2"/>
  <c r="E151" i="2"/>
  <c r="D151" i="2"/>
  <c r="C151" i="2"/>
  <c r="B151" i="2"/>
  <c r="I150" i="2"/>
  <c r="H150" i="2"/>
  <c r="G150" i="2"/>
  <c r="F150" i="2"/>
  <c r="E150" i="2"/>
  <c r="D150" i="2"/>
  <c r="C150" i="2"/>
  <c r="B150" i="2"/>
  <c r="I149" i="2"/>
  <c r="H149" i="2"/>
  <c r="G149" i="2"/>
  <c r="F149" i="2"/>
  <c r="E149" i="2"/>
  <c r="D149" i="2"/>
  <c r="C149" i="2"/>
  <c r="B149" i="2"/>
  <c r="I148" i="2"/>
  <c r="H148" i="2"/>
  <c r="G148" i="2"/>
  <c r="F148" i="2"/>
  <c r="E148" i="2"/>
  <c r="D148" i="2"/>
  <c r="C148" i="2"/>
  <c r="B148" i="2"/>
  <c r="I147" i="2"/>
  <c r="H147" i="2"/>
  <c r="G147" i="2"/>
  <c r="F147" i="2"/>
  <c r="E147" i="2"/>
  <c r="D147" i="2"/>
  <c r="C147" i="2"/>
  <c r="B147" i="2"/>
  <c r="I146" i="2"/>
  <c r="H146" i="2"/>
  <c r="G146" i="2"/>
  <c r="F146" i="2"/>
  <c r="E146" i="2"/>
  <c r="D146" i="2"/>
  <c r="C146" i="2"/>
  <c r="B146" i="2"/>
  <c r="I145" i="2"/>
  <c r="H145" i="2"/>
  <c r="G145" i="2"/>
  <c r="F145" i="2"/>
  <c r="E145" i="2"/>
  <c r="D145" i="2"/>
  <c r="C145" i="2"/>
  <c r="B145" i="2"/>
  <c r="I144" i="2"/>
  <c r="H144" i="2"/>
  <c r="G144" i="2"/>
  <c r="F144" i="2"/>
  <c r="E144" i="2"/>
  <c r="D144" i="2"/>
  <c r="C144" i="2"/>
  <c r="B144" i="2"/>
  <c r="I143" i="2"/>
  <c r="H143" i="2"/>
  <c r="G143" i="2"/>
  <c r="F143" i="2"/>
  <c r="E143" i="2"/>
  <c r="D143" i="2"/>
  <c r="C143" i="2"/>
  <c r="B143" i="2"/>
  <c r="I142" i="2"/>
  <c r="H142" i="2"/>
  <c r="G142" i="2"/>
  <c r="F142" i="2"/>
  <c r="E142" i="2"/>
  <c r="D142" i="2"/>
  <c r="C142" i="2"/>
  <c r="B142" i="2"/>
  <c r="I141" i="2"/>
  <c r="H141" i="2"/>
  <c r="G141" i="2"/>
  <c r="F141" i="2"/>
  <c r="E141" i="2"/>
  <c r="D141" i="2"/>
  <c r="C141" i="2"/>
  <c r="B141" i="2"/>
  <c r="I140" i="2"/>
  <c r="H140" i="2"/>
  <c r="G140" i="2"/>
  <c r="F140" i="2"/>
  <c r="E140" i="2"/>
  <c r="D140" i="2"/>
  <c r="C140" i="2"/>
  <c r="B140" i="2"/>
  <c r="I139" i="2"/>
  <c r="H139" i="2"/>
  <c r="G139" i="2"/>
  <c r="F139" i="2"/>
  <c r="E139" i="2"/>
  <c r="D139" i="2"/>
  <c r="C139" i="2"/>
  <c r="B139" i="2"/>
  <c r="I138" i="2"/>
  <c r="H138" i="2"/>
  <c r="G138" i="2"/>
  <c r="F138" i="2"/>
  <c r="E138" i="2"/>
  <c r="D138" i="2"/>
  <c r="C138" i="2"/>
  <c r="B138" i="2"/>
  <c r="I137" i="2"/>
  <c r="H137" i="2"/>
  <c r="G137" i="2"/>
  <c r="F137" i="2"/>
  <c r="E137" i="2"/>
  <c r="D137" i="2"/>
  <c r="C137" i="2"/>
  <c r="B137" i="2"/>
  <c r="I133" i="2"/>
  <c r="H133" i="2"/>
  <c r="G133" i="2"/>
  <c r="F133" i="2"/>
  <c r="E133" i="2"/>
  <c r="D133" i="2"/>
  <c r="C133" i="2"/>
  <c r="B133" i="2"/>
  <c r="I132" i="2"/>
  <c r="H132" i="2"/>
  <c r="G132" i="2"/>
  <c r="F132" i="2"/>
  <c r="E132" i="2"/>
  <c r="D132" i="2"/>
  <c r="C132" i="2"/>
  <c r="B132" i="2"/>
  <c r="I131" i="2"/>
  <c r="H131" i="2"/>
  <c r="G131" i="2"/>
  <c r="F131" i="2"/>
  <c r="E131" i="2"/>
  <c r="D131" i="2"/>
  <c r="C131" i="2"/>
  <c r="B131" i="2"/>
  <c r="I130" i="2"/>
  <c r="H130" i="2"/>
  <c r="G130" i="2"/>
  <c r="F130" i="2"/>
  <c r="E130" i="2"/>
  <c r="D130" i="2"/>
  <c r="C130" i="2"/>
  <c r="B130" i="2"/>
  <c r="I129" i="2"/>
  <c r="H129" i="2"/>
  <c r="G129" i="2"/>
  <c r="F129" i="2"/>
  <c r="E129" i="2"/>
  <c r="D129" i="2"/>
  <c r="C129" i="2"/>
  <c r="B129" i="2"/>
  <c r="I128" i="2"/>
  <c r="H128" i="2"/>
  <c r="G128" i="2"/>
  <c r="F128" i="2"/>
  <c r="E128" i="2"/>
  <c r="D128" i="2"/>
  <c r="C128" i="2"/>
  <c r="B128" i="2"/>
  <c r="I127" i="2"/>
  <c r="H127" i="2"/>
  <c r="G127" i="2"/>
  <c r="F127" i="2"/>
  <c r="E127" i="2"/>
  <c r="D127" i="2"/>
  <c r="C127" i="2"/>
  <c r="B127" i="2"/>
  <c r="I126" i="2"/>
  <c r="H126" i="2"/>
  <c r="G126" i="2"/>
  <c r="F126" i="2"/>
  <c r="E126" i="2"/>
  <c r="D126" i="2"/>
  <c r="C126" i="2"/>
  <c r="B126" i="2"/>
  <c r="I125" i="2"/>
  <c r="H125" i="2"/>
  <c r="G125" i="2"/>
  <c r="F125" i="2"/>
  <c r="E125" i="2"/>
  <c r="D125" i="2"/>
  <c r="C125" i="2"/>
  <c r="B125" i="2"/>
  <c r="I124" i="2"/>
  <c r="H124" i="2"/>
  <c r="G124" i="2"/>
  <c r="F124" i="2"/>
  <c r="E124" i="2"/>
  <c r="D124" i="2"/>
  <c r="C124" i="2"/>
  <c r="B124" i="2"/>
  <c r="I123" i="2"/>
  <c r="H123" i="2"/>
  <c r="G123" i="2"/>
  <c r="F123" i="2"/>
  <c r="E123" i="2"/>
  <c r="D123" i="2"/>
  <c r="C123" i="2"/>
  <c r="B123" i="2"/>
  <c r="I122" i="2"/>
  <c r="H122" i="2"/>
  <c r="G122" i="2"/>
  <c r="F122" i="2"/>
  <c r="E122" i="2"/>
  <c r="D122" i="2"/>
  <c r="C122" i="2"/>
  <c r="B122" i="2"/>
  <c r="I121" i="2"/>
  <c r="H121" i="2"/>
  <c r="G121" i="2"/>
  <c r="F121" i="2"/>
  <c r="E121" i="2"/>
  <c r="D121" i="2"/>
  <c r="C121" i="2"/>
  <c r="B121" i="2"/>
  <c r="I120" i="2"/>
  <c r="H120" i="2"/>
  <c r="G120" i="2"/>
  <c r="F120" i="2"/>
  <c r="E120" i="2"/>
  <c r="D120" i="2"/>
  <c r="C120" i="2"/>
  <c r="B120" i="2"/>
  <c r="I119" i="2"/>
  <c r="H119" i="2"/>
  <c r="G119" i="2"/>
  <c r="F119" i="2"/>
  <c r="E119" i="2"/>
  <c r="D119" i="2"/>
  <c r="C119" i="2"/>
  <c r="B119" i="2"/>
  <c r="I118" i="2"/>
  <c r="H118" i="2"/>
  <c r="G118" i="2"/>
  <c r="F118" i="2"/>
  <c r="E118" i="2"/>
  <c r="D118" i="2"/>
  <c r="C118" i="2"/>
  <c r="B118" i="2"/>
  <c r="I114" i="2"/>
  <c r="H114" i="2"/>
  <c r="G114" i="2"/>
  <c r="F114" i="2"/>
  <c r="E114" i="2"/>
  <c r="D114" i="2"/>
  <c r="C114" i="2"/>
  <c r="B114" i="2"/>
  <c r="I113" i="2"/>
  <c r="H113" i="2"/>
  <c r="G113" i="2"/>
  <c r="F113" i="2"/>
  <c r="E113" i="2"/>
  <c r="D113" i="2"/>
  <c r="C113" i="2"/>
  <c r="B113" i="2"/>
  <c r="I112" i="2"/>
  <c r="H112" i="2"/>
  <c r="G112" i="2"/>
  <c r="F112" i="2"/>
  <c r="E112" i="2"/>
  <c r="D112" i="2"/>
  <c r="C112" i="2"/>
  <c r="B112" i="2"/>
  <c r="I111" i="2"/>
  <c r="H111" i="2"/>
  <c r="G111" i="2"/>
  <c r="F111" i="2"/>
  <c r="E111" i="2"/>
  <c r="D111" i="2"/>
  <c r="C111" i="2"/>
  <c r="B111" i="2"/>
  <c r="I110" i="2"/>
  <c r="H110" i="2"/>
  <c r="G110" i="2"/>
  <c r="F110" i="2"/>
  <c r="E110" i="2"/>
  <c r="D110" i="2"/>
  <c r="C110" i="2"/>
  <c r="B110" i="2"/>
  <c r="I109" i="2"/>
  <c r="H109" i="2"/>
  <c r="G109" i="2"/>
  <c r="F109" i="2"/>
  <c r="E109" i="2"/>
  <c r="D109" i="2"/>
  <c r="C109" i="2"/>
  <c r="B109" i="2"/>
  <c r="I108" i="2"/>
  <c r="H108" i="2"/>
  <c r="G108" i="2"/>
  <c r="F108" i="2"/>
  <c r="E108" i="2"/>
  <c r="D108" i="2"/>
  <c r="C108" i="2"/>
  <c r="B108" i="2"/>
  <c r="I107" i="2"/>
  <c r="H107" i="2"/>
  <c r="G107" i="2"/>
  <c r="F107" i="2"/>
  <c r="E107" i="2"/>
  <c r="D107" i="2"/>
  <c r="C107" i="2"/>
  <c r="B107" i="2"/>
  <c r="I106" i="2"/>
  <c r="H106" i="2"/>
  <c r="G106" i="2"/>
  <c r="F106" i="2"/>
  <c r="E106" i="2"/>
  <c r="D106" i="2"/>
  <c r="C106" i="2"/>
  <c r="B106" i="2"/>
  <c r="I105" i="2"/>
  <c r="H105" i="2"/>
  <c r="G105" i="2"/>
  <c r="F105" i="2"/>
  <c r="E105" i="2"/>
  <c r="D105" i="2"/>
  <c r="C105" i="2"/>
  <c r="B105" i="2"/>
  <c r="I104" i="2"/>
  <c r="H104" i="2"/>
  <c r="G104" i="2"/>
  <c r="F104" i="2"/>
  <c r="E104" i="2"/>
  <c r="D104" i="2"/>
  <c r="C104" i="2"/>
  <c r="B104" i="2"/>
  <c r="I103" i="2"/>
  <c r="H103" i="2"/>
  <c r="G103" i="2"/>
  <c r="F103" i="2"/>
  <c r="E103" i="2"/>
  <c r="D103" i="2"/>
  <c r="C103" i="2"/>
  <c r="B103" i="2"/>
  <c r="I102" i="2"/>
  <c r="H102" i="2"/>
  <c r="G102" i="2"/>
  <c r="F102" i="2"/>
  <c r="E102" i="2"/>
  <c r="D102" i="2"/>
  <c r="C102" i="2"/>
  <c r="B102" i="2"/>
  <c r="I101" i="2"/>
  <c r="H101" i="2"/>
  <c r="G101" i="2"/>
  <c r="F101" i="2"/>
  <c r="E101" i="2"/>
  <c r="D101" i="2"/>
  <c r="C101" i="2"/>
  <c r="B101" i="2"/>
  <c r="I100" i="2"/>
  <c r="H100" i="2"/>
  <c r="G100" i="2"/>
  <c r="F100" i="2"/>
  <c r="E100" i="2"/>
  <c r="D100" i="2"/>
  <c r="C100" i="2"/>
  <c r="B100" i="2"/>
  <c r="I99" i="2"/>
  <c r="H99" i="2"/>
  <c r="G99" i="2"/>
  <c r="F99" i="2"/>
  <c r="E99" i="2"/>
  <c r="D99" i="2"/>
  <c r="C99" i="2"/>
  <c r="B99" i="2"/>
  <c r="I95" i="2"/>
  <c r="H95" i="2"/>
  <c r="G95" i="2"/>
  <c r="F95" i="2"/>
  <c r="E95" i="2"/>
  <c r="D95" i="2"/>
  <c r="C95" i="2"/>
  <c r="B95" i="2"/>
  <c r="I94" i="2"/>
  <c r="H94" i="2"/>
  <c r="G94" i="2"/>
  <c r="F94" i="2"/>
  <c r="E94" i="2"/>
  <c r="D94" i="2"/>
  <c r="C94" i="2"/>
  <c r="B94" i="2"/>
  <c r="I93" i="2"/>
  <c r="H93" i="2"/>
  <c r="G93" i="2"/>
  <c r="F93" i="2"/>
  <c r="E93" i="2"/>
  <c r="D93" i="2"/>
  <c r="C93" i="2"/>
  <c r="B93" i="2"/>
  <c r="I92" i="2"/>
  <c r="H92" i="2"/>
  <c r="G92" i="2"/>
  <c r="F92" i="2"/>
  <c r="E92" i="2"/>
  <c r="D92" i="2"/>
  <c r="C92" i="2"/>
  <c r="B92" i="2"/>
  <c r="I91" i="2"/>
  <c r="H91" i="2"/>
  <c r="G91" i="2"/>
  <c r="F91" i="2"/>
  <c r="E91" i="2"/>
  <c r="D91" i="2"/>
  <c r="C91" i="2"/>
  <c r="B91" i="2"/>
  <c r="I90" i="2"/>
  <c r="H90" i="2"/>
  <c r="G90" i="2"/>
  <c r="F90" i="2"/>
  <c r="E90" i="2"/>
  <c r="D90" i="2"/>
  <c r="C90" i="2"/>
  <c r="B90" i="2"/>
  <c r="I89" i="2"/>
  <c r="H89" i="2"/>
  <c r="G89" i="2"/>
  <c r="F89" i="2"/>
  <c r="E89" i="2"/>
  <c r="D89" i="2"/>
  <c r="C89" i="2"/>
  <c r="B89" i="2"/>
  <c r="I88" i="2"/>
  <c r="H88" i="2"/>
  <c r="G88" i="2"/>
  <c r="F88" i="2"/>
  <c r="E88" i="2"/>
  <c r="D88" i="2"/>
  <c r="C88" i="2"/>
  <c r="B88" i="2"/>
  <c r="I87" i="2"/>
  <c r="H87" i="2"/>
  <c r="G87" i="2"/>
  <c r="F87" i="2"/>
  <c r="E87" i="2"/>
  <c r="D87" i="2"/>
  <c r="C87" i="2"/>
  <c r="B87" i="2"/>
  <c r="I86" i="2"/>
  <c r="H86" i="2"/>
  <c r="G86" i="2"/>
  <c r="F86" i="2"/>
  <c r="E86" i="2"/>
  <c r="D86" i="2"/>
  <c r="C86" i="2"/>
  <c r="B86" i="2"/>
  <c r="I85" i="2"/>
  <c r="H85" i="2"/>
  <c r="G85" i="2"/>
  <c r="F85" i="2"/>
  <c r="E85" i="2"/>
  <c r="D85" i="2"/>
  <c r="C85" i="2"/>
  <c r="B85" i="2"/>
  <c r="I84" i="2"/>
  <c r="H84" i="2"/>
  <c r="G84" i="2"/>
  <c r="F84" i="2"/>
  <c r="E84" i="2"/>
  <c r="D84" i="2"/>
  <c r="C84" i="2"/>
  <c r="B84" i="2"/>
  <c r="I83" i="2"/>
  <c r="H83" i="2"/>
  <c r="G83" i="2"/>
  <c r="F83" i="2"/>
  <c r="E83" i="2"/>
  <c r="D83" i="2"/>
  <c r="C83" i="2"/>
  <c r="B83" i="2"/>
  <c r="I82" i="2"/>
  <c r="H82" i="2"/>
  <c r="G82" i="2"/>
  <c r="F82" i="2"/>
  <c r="E82" i="2"/>
  <c r="D82" i="2"/>
  <c r="C82" i="2"/>
  <c r="B82" i="2"/>
  <c r="I81" i="2"/>
  <c r="H81" i="2"/>
  <c r="G81" i="2"/>
  <c r="F81" i="2"/>
  <c r="E81" i="2"/>
  <c r="D81" i="2"/>
  <c r="C81" i="2"/>
  <c r="B81" i="2"/>
  <c r="I80" i="2"/>
  <c r="H80" i="2"/>
  <c r="G80" i="2"/>
  <c r="F80" i="2"/>
  <c r="E80" i="2"/>
  <c r="D80" i="2"/>
  <c r="C80" i="2"/>
  <c r="B80" i="2"/>
  <c r="I76" i="2"/>
  <c r="H76" i="2"/>
  <c r="G76" i="2"/>
  <c r="F76" i="2"/>
  <c r="E76" i="2"/>
  <c r="D76" i="2"/>
  <c r="C76" i="2"/>
  <c r="B76" i="2"/>
  <c r="I75" i="2"/>
  <c r="H75" i="2"/>
  <c r="G75" i="2"/>
  <c r="F75" i="2"/>
  <c r="E75" i="2"/>
  <c r="D75" i="2"/>
  <c r="C75" i="2"/>
  <c r="B75" i="2"/>
  <c r="I74" i="2"/>
  <c r="H74" i="2"/>
  <c r="G74" i="2"/>
  <c r="F74" i="2"/>
  <c r="E74" i="2"/>
  <c r="D74" i="2"/>
  <c r="C74" i="2"/>
  <c r="B74" i="2"/>
  <c r="I73" i="2"/>
  <c r="H73" i="2"/>
  <c r="G73" i="2"/>
  <c r="F73" i="2"/>
  <c r="E73" i="2"/>
  <c r="D73" i="2"/>
  <c r="C73" i="2"/>
  <c r="B73" i="2"/>
  <c r="I72" i="2"/>
  <c r="H72" i="2"/>
  <c r="G72" i="2"/>
  <c r="F72" i="2"/>
  <c r="E72" i="2"/>
  <c r="D72" i="2"/>
  <c r="C72" i="2"/>
  <c r="B72" i="2"/>
  <c r="I71" i="2"/>
  <c r="H71" i="2"/>
  <c r="G71" i="2"/>
  <c r="F71" i="2"/>
  <c r="E71" i="2"/>
  <c r="D71" i="2"/>
  <c r="C71" i="2"/>
  <c r="B71" i="2"/>
  <c r="I70" i="2"/>
  <c r="H70" i="2"/>
  <c r="G70" i="2"/>
  <c r="F70" i="2"/>
  <c r="E70" i="2"/>
  <c r="D70" i="2"/>
  <c r="C70" i="2"/>
  <c r="B70" i="2"/>
  <c r="I69" i="2"/>
  <c r="H69" i="2"/>
  <c r="G69" i="2"/>
  <c r="F69" i="2"/>
  <c r="E69" i="2"/>
  <c r="D69" i="2"/>
  <c r="C69" i="2"/>
  <c r="B69" i="2"/>
  <c r="I68" i="2"/>
  <c r="H68" i="2"/>
  <c r="G68" i="2"/>
  <c r="F68" i="2"/>
  <c r="E68" i="2"/>
  <c r="D68" i="2"/>
  <c r="C68" i="2"/>
  <c r="B68" i="2"/>
  <c r="I67" i="2"/>
  <c r="H67" i="2"/>
  <c r="G67" i="2"/>
  <c r="F67" i="2"/>
  <c r="E67" i="2"/>
  <c r="D67" i="2"/>
  <c r="C67" i="2"/>
  <c r="B67" i="2"/>
  <c r="I66" i="2"/>
  <c r="H66" i="2"/>
  <c r="G66" i="2"/>
  <c r="F66" i="2"/>
  <c r="E66" i="2"/>
  <c r="D66" i="2"/>
  <c r="C66" i="2"/>
  <c r="B66" i="2"/>
  <c r="I65" i="2"/>
  <c r="H65" i="2"/>
  <c r="G65" i="2"/>
  <c r="F65" i="2"/>
  <c r="E65" i="2"/>
  <c r="D65" i="2"/>
  <c r="C65" i="2"/>
  <c r="B65" i="2"/>
  <c r="I64" i="2"/>
  <c r="H64" i="2"/>
  <c r="G64" i="2"/>
  <c r="F64" i="2"/>
  <c r="E64" i="2"/>
  <c r="D64" i="2"/>
  <c r="C64" i="2"/>
  <c r="B64" i="2"/>
  <c r="I63" i="2"/>
  <c r="H63" i="2"/>
  <c r="G63" i="2"/>
  <c r="F63" i="2"/>
  <c r="E63" i="2"/>
  <c r="D63" i="2"/>
  <c r="C63" i="2"/>
  <c r="B63" i="2"/>
  <c r="I62" i="2"/>
  <c r="H62" i="2"/>
  <c r="G62" i="2"/>
  <c r="F62" i="2"/>
  <c r="E62" i="2"/>
  <c r="D62" i="2"/>
  <c r="C62" i="2"/>
  <c r="B62" i="2"/>
  <c r="I61" i="2"/>
  <c r="H61" i="2"/>
  <c r="G61" i="2"/>
  <c r="F61" i="2"/>
  <c r="E61" i="2"/>
  <c r="D61" i="2"/>
  <c r="C61" i="2"/>
  <c r="B61" i="2"/>
  <c r="I57" i="2"/>
  <c r="H57" i="2"/>
  <c r="G57" i="2"/>
  <c r="F57" i="2"/>
  <c r="E57" i="2"/>
  <c r="D57" i="2"/>
  <c r="C57" i="2"/>
  <c r="B57"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I50" i="2"/>
  <c r="H50" i="2"/>
  <c r="G50" i="2"/>
  <c r="F50" i="2"/>
  <c r="E50" i="2"/>
  <c r="D50" i="2"/>
  <c r="C50" i="2"/>
  <c r="B50" i="2"/>
  <c r="I49" i="2"/>
  <c r="H49" i="2"/>
  <c r="G49" i="2"/>
  <c r="F49" i="2"/>
  <c r="E49" i="2"/>
  <c r="D49" i="2"/>
  <c r="C49" i="2"/>
  <c r="B49" i="2"/>
  <c r="I48" i="2"/>
  <c r="H48" i="2"/>
  <c r="G48" i="2"/>
  <c r="F48" i="2"/>
  <c r="E48" i="2"/>
  <c r="D48" i="2"/>
  <c r="C48" i="2"/>
  <c r="B48" i="2"/>
  <c r="I47" i="2"/>
  <c r="H47" i="2"/>
  <c r="G47" i="2"/>
  <c r="F47" i="2"/>
  <c r="E47" i="2"/>
  <c r="D47" i="2"/>
  <c r="C47" i="2"/>
  <c r="B47" i="2"/>
  <c r="I46" i="2"/>
  <c r="H46" i="2"/>
  <c r="G46" i="2"/>
  <c r="F46" i="2"/>
  <c r="E46" i="2"/>
  <c r="D46" i="2"/>
  <c r="C46" i="2"/>
  <c r="B46" i="2"/>
  <c r="I45" i="2"/>
  <c r="H45" i="2"/>
  <c r="G45" i="2"/>
  <c r="F45" i="2"/>
  <c r="E45" i="2"/>
  <c r="D45" i="2"/>
  <c r="C45" i="2"/>
  <c r="B45" i="2"/>
  <c r="I44" i="2"/>
  <c r="H44" i="2"/>
  <c r="G44" i="2"/>
  <c r="F44" i="2"/>
  <c r="E44" i="2"/>
  <c r="D44" i="2"/>
  <c r="C44" i="2"/>
  <c r="B44" i="2"/>
  <c r="I43" i="2"/>
  <c r="H43" i="2"/>
  <c r="G43" i="2"/>
  <c r="F43" i="2"/>
  <c r="E43" i="2"/>
  <c r="D43" i="2"/>
  <c r="C43" i="2"/>
  <c r="B43" i="2"/>
  <c r="I42" i="2"/>
  <c r="H42" i="2"/>
  <c r="G42" i="2"/>
  <c r="F42" i="2"/>
  <c r="E42" i="2"/>
  <c r="D42" i="2"/>
  <c r="C42" i="2"/>
  <c r="B42" i="2"/>
  <c r="I38" i="2"/>
  <c r="H38" i="2"/>
  <c r="G38" i="2"/>
  <c r="F38" i="2"/>
  <c r="E38" i="2"/>
  <c r="D38" i="2"/>
  <c r="C38" i="2"/>
  <c r="B38" i="2"/>
  <c r="I37" i="2"/>
  <c r="H37" i="2"/>
  <c r="G37" i="2"/>
  <c r="F37" i="2"/>
  <c r="E37" i="2"/>
  <c r="D37" i="2"/>
  <c r="C37" i="2"/>
  <c r="B37" i="2"/>
  <c r="I36" i="2"/>
  <c r="H36" i="2"/>
  <c r="G36" i="2"/>
  <c r="F36" i="2"/>
  <c r="E36" i="2"/>
  <c r="D36" i="2"/>
  <c r="C36" i="2"/>
  <c r="B36" i="2"/>
  <c r="I35" i="2"/>
  <c r="H35" i="2"/>
  <c r="G35" i="2"/>
  <c r="F35" i="2"/>
  <c r="E35" i="2"/>
  <c r="D35" i="2"/>
  <c r="C35" i="2"/>
  <c r="B35" i="2"/>
  <c r="I34" i="2"/>
  <c r="H34" i="2"/>
  <c r="G34" i="2"/>
  <c r="F34" i="2"/>
  <c r="E34" i="2"/>
  <c r="D34" i="2"/>
  <c r="C34" i="2"/>
  <c r="B34" i="2"/>
  <c r="I33" i="2"/>
  <c r="H33" i="2"/>
  <c r="G33" i="2"/>
  <c r="F33" i="2"/>
  <c r="E33" i="2"/>
  <c r="D33" i="2"/>
  <c r="C33" i="2"/>
  <c r="B33" i="2"/>
  <c r="I32" i="2"/>
  <c r="H32" i="2"/>
  <c r="G32" i="2"/>
  <c r="F32" i="2"/>
  <c r="E32" i="2"/>
  <c r="D32" i="2"/>
  <c r="C32" i="2"/>
  <c r="B32" i="2"/>
  <c r="I31" i="2"/>
  <c r="H31" i="2"/>
  <c r="G31" i="2"/>
  <c r="F31" i="2"/>
  <c r="E31" i="2"/>
  <c r="D31" i="2"/>
  <c r="C31" i="2"/>
  <c r="B31" i="2"/>
  <c r="I30" i="2"/>
  <c r="H30" i="2"/>
  <c r="G30" i="2"/>
  <c r="F30" i="2"/>
  <c r="E30" i="2"/>
  <c r="D30" i="2"/>
  <c r="C30" i="2"/>
  <c r="B30" i="2"/>
  <c r="I29" i="2"/>
  <c r="H29" i="2"/>
  <c r="G29" i="2"/>
  <c r="F29" i="2"/>
  <c r="E29" i="2"/>
  <c r="D29" i="2"/>
  <c r="C29" i="2"/>
  <c r="B29" i="2"/>
  <c r="I28" i="2"/>
  <c r="H28" i="2"/>
  <c r="G28" i="2"/>
  <c r="F28" i="2"/>
  <c r="E28" i="2"/>
  <c r="D28" i="2"/>
  <c r="C28" i="2"/>
  <c r="B28" i="2"/>
  <c r="I27" i="2"/>
  <c r="H27" i="2"/>
  <c r="G27" i="2"/>
  <c r="F27" i="2"/>
  <c r="E27" i="2"/>
  <c r="D27" i="2"/>
  <c r="C27" i="2"/>
  <c r="B27" i="2"/>
  <c r="I26" i="2"/>
  <c r="H26" i="2"/>
  <c r="G26" i="2"/>
  <c r="F26" i="2"/>
  <c r="E26" i="2"/>
  <c r="D26" i="2"/>
  <c r="C26" i="2"/>
  <c r="B26" i="2"/>
  <c r="I25" i="2"/>
  <c r="H25" i="2"/>
  <c r="G25" i="2"/>
  <c r="F25" i="2"/>
  <c r="E25" i="2"/>
  <c r="D25" i="2"/>
  <c r="C25" i="2"/>
  <c r="B25" i="2"/>
  <c r="I24" i="2"/>
  <c r="H24" i="2"/>
  <c r="G24" i="2"/>
  <c r="F24" i="2"/>
  <c r="E24" i="2"/>
  <c r="D24" i="2"/>
  <c r="C24" i="2"/>
  <c r="B24" i="2"/>
  <c r="I23" i="2"/>
  <c r="H23" i="2"/>
  <c r="G23" i="2"/>
  <c r="F23" i="2"/>
  <c r="E23" i="2"/>
  <c r="D23" i="2"/>
  <c r="C23" i="2"/>
  <c r="B23" i="2"/>
  <c r="I19" i="2"/>
  <c r="H19" i="2"/>
  <c r="G19" i="2"/>
  <c r="F19" i="2"/>
  <c r="E19" i="2"/>
  <c r="D19" i="2"/>
  <c r="C19" i="2"/>
  <c r="B19" i="2"/>
  <c r="I18" i="2"/>
  <c r="H18" i="2"/>
  <c r="G18" i="2"/>
  <c r="F18" i="2"/>
  <c r="E18" i="2"/>
  <c r="D18" i="2"/>
  <c r="C18" i="2"/>
  <c r="B18" i="2"/>
  <c r="I17" i="2"/>
  <c r="H17" i="2"/>
  <c r="G17" i="2"/>
  <c r="F17" i="2"/>
  <c r="E17" i="2"/>
  <c r="D17" i="2"/>
  <c r="C17" i="2"/>
  <c r="B17" i="2"/>
  <c r="I16" i="2"/>
  <c r="H16" i="2"/>
  <c r="G16" i="2"/>
  <c r="F16" i="2"/>
  <c r="E16" i="2"/>
  <c r="D16" i="2"/>
  <c r="C16" i="2"/>
  <c r="B16" i="2"/>
  <c r="I15" i="2"/>
  <c r="H15" i="2"/>
  <c r="G15" i="2"/>
  <c r="F15" i="2"/>
  <c r="E15" i="2"/>
  <c r="D15" i="2"/>
  <c r="C15" i="2"/>
  <c r="B15" i="2"/>
  <c r="I14" i="2"/>
  <c r="H14" i="2"/>
  <c r="G14" i="2"/>
  <c r="F14" i="2"/>
  <c r="E14" i="2"/>
  <c r="D14" i="2"/>
  <c r="C14" i="2"/>
  <c r="B14" i="2"/>
  <c r="I13" i="2"/>
  <c r="H13" i="2"/>
  <c r="G13" i="2"/>
  <c r="F13" i="2"/>
  <c r="E13" i="2"/>
  <c r="D13" i="2"/>
  <c r="C13" i="2"/>
  <c r="B13" i="2"/>
  <c r="I12" i="2"/>
  <c r="H12" i="2"/>
  <c r="G12" i="2"/>
  <c r="F12" i="2"/>
  <c r="E12" i="2"/>
  <c r="D12" i="2"/>
  <c r="C12" i="2"/>
  <c r="B12" i="2"/>
  <c r="I11" i="2"/>
  <c r="H11" i="2"/>
  <c r="G11" i="2"/>
  <c r="F11" i="2"/>
  <c r="E11" i="2"/>
  <c r="D11" i="2"/>
  <c r="C11" i="2"/>
  <c r="B11" i="2"/>
  <c r="I10" i="2"/>
  <c r="H10" i="2"/>
  <c r="G10" i="2"/>
  <c r="F10" i="2"/>
  <c r="E10" i="2"/>
  <c r="D10" i="2"/>
  <c r="C10" i="2"/>
  <c r="B10" i="2"/>
  <c r="I9" i="2"/>
  <c r="H9" i="2"/>
  <c r="G9" i="2"/>
  <c r="F9" i="2"/>
  <c r="E9" i="2"/>
  <c r="D9" i="2"/>
  <c r="C9" i="2"/>
  <c r="B9" i="2"/>
  <c r="I8" i="2"/>
  <c r="H8" i="2"/>
  <c r="G8" i="2"/>
  <c r="F8" i="2"/>
  <c r="E8" i="2"/>
  <c r="D8" i="2"/>
  <c r="C8" i="2"/>
  <c r="B8" i="2"/>
  <c r="I7" i="2"/>
  <c r="H7" i="2"/>
  <c r="G7" i="2"/>
  <c r="F7" i="2"/>
  <c r="E7" i="2"/>
  <c r="D7" i="2"/>
  <c r="C7" i="2"/>
  <c r="B7" i="2"/>
  <c r="I6" i="2"/>
  <c r="H6" i="2"/>
  <c r="G6" i="2"/>
  <c r="F6" i="2"/>
  <c r="E6" i="2"/>
  <c r="D6" i="2"/>
  <c r="C6" i="2"/>
  <c r="B6" i="2"/>
  <c r="I5" i="2"/>
  <c r="H5" i="2"/>
  <c r="G5" i="2"/>
  <c r="F5" i="2"/>
  <c r="E5" i="2"/>
  <c r="D5" i="2"/>
  <c r="C5" i="2"/>
  <c r="B5" i="2"/>
  <c r="I4" i="2"/>
  <c r="H4" i="2"/>
  <c r="G4" i="2"/>
  <c r="F4" i="2"/>
  <c r="E4" i="2"/>
  <c r="D4" i="2"/>
  <c r="C4" i="2"/>
  <c r="B4" i="2"/>
</calcChain>
</file>

<file path=xl/sharedStrings.xml><?xml version="1.0" encoding="utf-8"?>
<sst xmlns="http://schemas.openxmlformats.org/spreadsheetml/2006/main" count="332" uniqueCount="78">
  <si>
    <t>جدول رقم(76) : مخصص التعويضات تحت التسوية أول العام (إجمالي التأمين العام)</t>
  </si>
  <si>
    <t>الشركة</t>
  </si>
  <si>
    <t>الأقساط المباشرة</t>
  </si>
  <si>
    <t>وارد محلي</t>
  </si>
  <si>
    <t>وارد من الخارج</t>
  </si>
  <si>
    <t>(أ) إجمالي الوارد</t>
  </si>
  <si>
    <t>صادر محلي</t>
  </si>
  <si>
    <t>صادر للخارج</t>
  </si>
  <si>
    <t>(ب) إجمالي الصادر</t>
  </si>
  <si>
    <t>( أ - ب ) الصافي</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</si>
  <si>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</si>
  <si>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</si>
  <si>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</si>
  <si>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</si>
  <si>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</si>
  <si>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</si>
  <si>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</si>
  <si>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</si>
  <si>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</si>
  <si>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</si>
  <si>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</si>
  <si>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</si>
  <si>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</si>
  <si>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</si>
  <si>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</si>
  <si>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</si>
  <si>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جدول رقم(77) : مخصص التعويضات تحت التسوية أول العام (النقل)</t>
  </si>
  <si>
    <t>جدول رقم(78) : مخصص التعويضات تحت التسوية أول العام (الممتلكات)</t>
  </si>
  <si>
    <t>جدول رقم(79) : مخصص التعويضات تحت التسوية أول العام (المركبات الشامل)</t>
  </si>
  <si>
    <t>جدول رقم(80) : مخصص التعويضات تحت التسوية أول العام (المركبات الطرف الثالث)</t>
  </si>
  <si>
    <t>جدول رقم(81) : مخصص التعويضات تحت التسوية أول العام (المسؤولية)</t>
  </si>
  <si>
    <t>جدول رقم(82) : مخصص التعويضات تحت التسوية أول العام (الهندسي)</t>
  </si>
  <si>
    <t>جدول رقم(83) : مخصص التعويضات تحت التسوية أول العام (الصحي)</t>
  </si>
  <si>
    <t>جدول رقم(84) : مخصص التعويضات تحت التسوية أول العام (الأخرى)</t>
  </si>
  <si>
    <t>مخصص التعويضات تحت التسوية أول العام (المجموع التأمين العام والصحي)</t>
  </si>
  <si>
    <t>م</t>
  </si>
  <si>
    <t>اسم المتغير</t>
  </si>
  <si>
    <t>وصف المتغير</t>
  </si>
  <si>
    <t>نوع البيانات</t>
  </si>
  <si>
    <t>مستوى الإلزامية(إجباري/ اختياري)</t>
  </si>
  <si>
    <t>اسم شركة التأمين</t>
  </si>
  <si>
    <t>نص</t>
  </si>
  <si>
    <t>إلزامي</t>
  </si>
  <si>
    <t>رقم</t>
  </si>
  <si>
    <t>إجمالي الوارد</t>
  </si>
  <si>
    <t>إجمالي الصادر</t>
  </si>
  <si>
    <t>الصافي</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</si>
  <si>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</si>
  <si>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</si>
  <si>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</si>
  <si>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</si>
  <si>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</si>
  <si>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</si>
  <si>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</si>
  <si>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</si>
  <si>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</si>
  <si>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</si>
  <si>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</si>
  <si>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</si>
  <si>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</si>
  <si>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</si>
  <si>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</si>
  <si>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</si>
  <si>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</si>
  <si>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</si>
  <si>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</si>
  <si>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</si>
  <si>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</si>
  <si>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</si>
  <si>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</si>
  <si>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</si>
  <si>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</si>
  <si>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</si>
  <si>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</si>
  <si>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</si>
  <si>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</si>
  <si>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</si>
  <si>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مخصص التعويضات تحت التسوية أول العام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</si>
</sst>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b/>
      <sz val="12"/>
      <color rgb="FF000000"/>
      <name val="Arial"/>
      <family val="2"/>
      <scheme val="minor"/>
    </font>
    <font>
      <sz val="12"/>
      <color rgb="FF000000"/>
      <name val="Arial"/>
      <family val="2"/>
      <scheme val="minor"/>
    </font>
    <font>
      <sz val="14"/>
      <color theme="0"/>
      <name val="Arial"/>
      <family val="2"/>
      <scheme val="minor"/>
    </font>
    <font>
      <sz val="11"/>
      <color rgb="FF212529"/>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4472C4"/>
        <bgColor rgb="FF000000"/>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6CA5DA"/>
      </left>
      <right style="medium">
        <color rgb="FF6CA5DA"/>
      </right>
      <top style="medium">
        <color rgb="FF6CA5DA"/>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17" fillId="35" borderId="10" xfId="34" applyFill="1" applyBorder="1" applyAlignment="1">
      <alignment horizontal="center" vertical="center" wrapText="1" readingOrder="2"/>
    </xf>
    <xf numFmtId="0" fontId="22" fillId="0" borderId="11" xfId="0" applyFont="1" applyBorder="1" applyAlignment="1">
      <alignment horizontal="center" vertical="center" wrapText="1" readingOrder="2"/>
    </xf>
    <xf numFmtId="0" fontId="23" fillId="0" borderId="11" xfId="0" applyFont="1" applyBorder="1" applyAlignment="1">
      <alignment horizontal="center" vertical="center" wrapText="1" readingOrder="2"/>
    </xf>
    <xf numFmtId="0" fontId="24" fillId="25" borderId="12" xfId="34" applyFont="1" applyBorder="1" applyAlignment="1">
      <alignment horizontal="center" vertical="center" wrapText="1"/>
    </xf>
    <xf numFmtId="0" fontId="25" fillId="36" borderId="10" xfId="0" applyFont="1" applyFill="1" applyBorder="1" applyAlignment="1">
      <alignment horizontal="right" vertical="center" wrapText="1"/>
    </xf>
    <xf numFmtId="14" fontId="25" fillId="36" borderId="10" xfId="0" applyNumberFormat="1"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B27" sqref="B27"/>
    </sheetView>
  </sheetViews>
  <sheetFormatPr defaultRowHeight="14" x14ac:dyDescent="0.3"/>
  <cols>
    <col min="1" max="1" width="40.1640625" customWidth="1"/>
    <col min="2" max="2" width="41.75" customWidth="1"/>
  </cols>
  <sheetData>
    <row r="1" spans="1:2" ht="17.5" x14ac:dyDescent="0.3">
      <c r="A1" s="9" t="s">
        <v>47</v>
      </c>
      <c r="B1" s="9" t="s">
        <v>77</v>
      </c>
    </row>
    <row r="2" spans="1:2" ht="70" x14ac:dyDescent="0.3">
      <c r="A2" s="10" t="s">
        <v>48</v>
      </c>
      <c r="B2" s="10" t="s">
        <v>49</v>
      </c>
    </row>
    <row r="3" spans="1:2" x14ac:dyDescent="0.3">
      <c r="A3" s="10" t="s">
        <v>50</v>
      </c>
      <c r="B3" s="10" t="s">
        <v>51</v>
      </c>
    </row>
    <row r="4" spans="1:2" x14ac:dyDescent="0.3">
      <c r="A4" s="10" t="s">
        <v>52</v>
      </c>
      <c r="B4" s="10" t="s">
        <v>53</v>
      </c>
    </row>
    <row r="5" spans="1:2" ht="42" x14ac:dyDescent="0.3">
      <c r="A5" s="10" t="s">
        <v>54</v>
      </c>
      <c r="B5" s="10" t="s">
        <v>55</v>
      </c>
    </row>
    <row r="6" spans="1:2" x14ac:dyDescent="0.3">
      <c r="A6" s="10" t="s">
        <v>56</v>
      </c>
      <c r="B6" s="11">
        <v>44568</v>
      </c>
    </row>
    <row r="7" spans="1:2" x14ac:dyDescent="0.3">
      <c r="A7" s="10" t="s">
        <v>57</v>
      </c>
      <c r="B7" s="10" t="s">
        <v>58</v>
      </c>
    </row>
    <row r="8" spans="1:2" x14ac:dyDescent="0.3">
      <c r="A8" s="10" t="s">
        <v>59</v>
      </c>
      <c r="B8" s="10" t="s">
        <v>60</v>
      </c>
    </row>
    <row r="9" spans="1:2" x14ac:dyDescent="0.3">
      <c r="A9" s="10" t="s">
        <v>61</v>
      </c>
      <c r="B9" s="10" t="s">
        <v>62</v>
      </c>
    </row>
    <row r="10" spans="1:2" x14ac:dyDescent="0.3">
      <c r="A10" s="10" t="s">
        <v>63</v>
      </c>
      <c r="B10" s="10" t="s">
        <v>64</v>
      </c>
    </row>
    <row r="11" spans="1:2" x14ac:dyDescent="0.3">
      <c r="A11" s="10" t="s">
        <v>65</v>
      </c>
      <c r="B11" s="10" t="s">
        <v>66</v>
      </c>
    </row>
    <row r="12" spans="1:2" x14ac:dyDescent="0.3">
      <c r="A12" s="10" t="s">
        <v>67</v>
      </c>
      <c r="B12" s="10" t="s">
        <v>68</v>
      </c>
    </row>
    <row r="13" spans="1:2" x14ac:dyDescent="0.3">
      <c r="A13" s="10" t="s">
        <v>69</v>
      </c>
      <c r="B13" s="10" t="s">
        <v>70</v>
      </c>
    </row>
    <row r="14" spans="1:2" ht="70" x14ac:dyDescent="0.3">
      <c r="A14" s="10" t="s">
        <v>71</v>
      </c>
      <c r="B14" s="10" t="s">
        <v>72</v>
      </c>
    </row>
    <row r="15" spans="1:2" x14ac:dyDescent="0.3">
      <c r="A15" s="10" t="s">
        <v>73</v>
      </c>
      <c r="B15" s="10" t="s">
        <v>74</v>
      </c>
    </row>
    <row r="16" spans="1:2" x14ac:dyDescent="0.3">
      <c r="A16" s="10" t="s">
        <v>75</v>
      </c>
      <c r="B16" s="10" t="s">
        <v>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rightToLeft="1" workbookViewId="0">
      <selection activeCell="A25" sqref="A25"/>
    </sheetView>
  </sheetViews>
  <sheetFormatPr defaultRowHeight="14" x14ac:dyDescent="0.3"/>
  <cols>
    <col min="1" max="3" width="20.58203125" customWidth="1"/>
    <col min="4" max="4" width="22.4140625" customWidth="1"/>
    <col min="5" max="5" width="25.5" customWidth="1"/>
  </cols>
  <sheetData>
    <row r="1" spans="1:5" x14ac:dyDescent="0.3">
      <c r="A1" s="6" t="s">
        <v>35</v>
      </c>
      <c r="B1" s="6" t="s">
        <v>36</v>
      </c>
      <c r="C1" s="6" t="s">
        <v>37</v>
      </c>
      <c r="D1" s="6" t="s">
        <v>38</v>
      </c>
      <c r="E1" s="6" t="s">
        <v>39</v>
      </c>
    </row>
    <row r="2" spans="1:5" ht="15.5" x14ac:dyDescent="0.3">
      <c r="A2" s="7">
        <v>1</v>
      </c>
      <c r="B2" s="8" t="s">
        <v>1</v>
      </c>
      <c r="C2" s="8" t="s">
        <v>40</v>
      </c>
      <c r="D2" s="8" t="s">
        <v>41</v>
      </c>
      <c r="E2" s="8" t="s">
        <v>42</v>
      </c>
    </row>
    <row r="3" spans="1:5" ht="15.5" x14ac:dyDescent="0.3">
      <c r="A3" s="7">
        <v>2</v>
      </c>
      <c r="B3" s="8" t="s">
        <v>2</v>
      </c>
      <c r="C3" s="8" t="s">
        <v>2</v>
      </c>
      <c r="D3" s="8" t="s">
        <v>43</v>
      </c>
      <c r="E3" s="8" t="s">
        <v>42</v>
      </c>
    </row>
    <row r="4" spans="1:5" ht="15.5" x14ac:dyDescent="0.3">
      <c r="A4" s="7">
        <v>3</v>
      </c>
      <c r="B4" s="8" t="s">
        <v>3</v>
      </c>
      <c r="C4" s="8" t="s">
        <v>3</v>
      </c>
      <c r="D4" s="8" t="s">
        <v>43</v>
      </c>
      <c r="E4" s="8" t="s">
        <v>42</v>
      </c>
    </row>
    <row r="5" spans="1:5" ht="15.5" x14ac:dyDescent="0.3">
      <c r="A5" s="7">
        <v>4</v>
      </c>
      <c r="B5" s="8" t="s">
        <v>4</v>
      </c>
      <c r="C5" s="8" t="s">
        <v>4</v>
      </c>
      <c r="D5" s="8" t="s">
        <v>43</v>
      </c>
      <c r="E5" s="8" t="s">
        <v>42</v>
      </c>
    </row>
    <row r="6" spans="1:5" ht="15.5" x14ac:dyDescent="0.3">
      <c r="A6" s="7">
        <v>5</v>
      </c>
      <c r="B6" s="8" t="s">
        <v>44</v>
      </c>
      <c r="C6" s="8" t="s">
        <v>44</v>
      </c>
      <c r="D6" s="8" t="s">
        <v>43</v>
      </c>
      <c r="E6" s="8" t="s">
        <v>42</v>
      </c>
    </row>
    <row r="7" spans="1:5" ht="15.5" x14ac:dyDescent="0.3">
      <c r="A7" s="7">
        <v>6</v>
      </c>
      <c r="B7" s="8" t="s">
        <v>6</v>
      </c>
      <c r="C7" s="8" t="s">
        <v>6</v>
      </c>
      <c r="D7" s="8" t="s">
        <v>43</v>
      </c>
      <c r="E7" s="8" t="s">
        <v>42</v>
      </c>
    </row>
    <row r="8" spans="1:5" ht="15.5" x14ac:dyDescent="0.3">
      <c r="A8" s="7">
        <v>7</v>
      </c>
      <c r="B8" s="8" t="s">
        <v>7</v>
      </c>
      <c r="C8" s="8" t="s">
        <v>7</v>
      </c>
      <c r="D8" s="8" t="s">
        <v>43</v>
      </c>
      <c r="E8" s="8" t="s">
        <v>42</v>
      </c>
    </row>
    <row r="9" spans="1:5" ht="15.5" x14ac:dyDescent="0.3">
      <c r="A9" s="7">
        <v>8</v>
      </c>
      <c r="B9" s="8" t="s">
        <v>45</v>
      </c>
      <c r="C9" s="8" t="s">
        <v>45</v>
      </c>
      <c r="D9" s="8" t="s">
        <v>43</v>
      </c>
      <c r="E9" s="8" t="s">
        <v>42</v>
      </c>
    </row>
    <row r="10" spans="1:5" ht="15.5" x14ac:dyDescent="0.3">
      <c r="A10" s="7">
        <v>9</v>
      </c>
      <c r="B10" s="8" t="s">
        <v>46</v>
      </c>
      <c r="C10" s="8" t="s">
        <v>46</v>
      </c>
      <c r="D10" s="8" t="s">
        <v>43</v>
      </c>
      <c r="E10" s="8"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0"/>
  <sheetViews>
    <sheetView rightToLeft="1" workbookViewId="0">
      <selection sqref="A1:I1"/>
    </sheetView>
  </sheetViews>
  <sheetFormatPr defaultRowHeight="12.75" x14ac:dyDescent="0.3"/>
  <cols>
    <col min="1" max="1" width="26.75" bestFit="1" customWidth="1"/>
    <col min="2" max="2" width="9.75" bestFit="1" customWidth="1"/>
    <col min="3" max="3" width="6.58203125" bestFit="1" customWidth="1"/>
    <col min="4" max="4" width="9.5" bestFit="1" customWidth="1"/>
    <col min="5" max="5" width="10.08203125" bestFit="1" customWidth="1"/>
    <col min="6" max="6" width="7.1640625" bestFit="1" customWidth="1"/>
    <col min="7" max="7" width="8.08203125" bestFit="1" customWidth="1"/>
    <col min="8" max="8" width="11.4140625" bestFit="1" customWidth="1"/>
    <col min="9" max="9" width="10.33203125" bestFit="1" customWidth="1"/>
  </cols>
  <sheetData>
    <row r="1" spans="1:9" ht="12.5" customHeight="1" x14ac:dyDescent="0.3">
      <c r="A1" s="5" t="s">
        <v>0</v>
      </c>
      <c r="B1" s="5"/>
      <c r="C1" s="5"/>
      <c r="D1" s="5"/>
      <c r="E1" s="5"/>
      <c r="F1" s="5"/>
      <c r="G1" s="5"/>
      <c r="H1" s="5"/>
      <c r="I1" s="5"/>
    </row>
    <row r="2" spans="1:9" ht="14" x14ac:dyDescent="0.3">
      <c r="A2" s="4" t="s">
        <v>1</v>
      </c>
      <c r="B2" s="1" t="s">
        <v>2</v>
      </c>
      <c r="C2" s="1" t="s">
        <v>3</v>
      </c>
      <c r="D2" s="1" t="s">
        <v>4</v>
      </c>
      <c r="E2" s="1" t="s">
        <v>5</v>
      </c>
      <c r="F2" s="1" t="s">
        <v>6</v>
      </c>
      <c r="G2" s="1" t="s">
        <v>7</v>
      </c>
      <c r="H2" s="1" t="s">
        <v>8</v>
      </c>
      <c r="I2" s="1" t="s">
        <v>9</v>
      </c>
    </row>
    <row r="3" spans="1:9" ht="14" x14ac:dyDescent="0.3">
      <c r="A3" s="4"/>
      <c r="B3" s="1">
        <v>2024</v>
      </c>
      <c r="C3" s="1">
        <v>2024</v>
      </c>
      <c r="D3" s="1">
        <v>2024</v>
      </c>
      <c r="E3" s="1">
        <v>2024</v>
      </c>
      <c r="F3" s="1">
        <v>2024</v>
      </c>
      <c r="G3" s="1">
        <v>2024</v>
      </c>
      <c r="H3" s="1">
        <v>2024</v>
      </c>
      <c r="I3" s="1">
        <v>2024</v>
      </c>
    </row>
    <row r="4" spans="1:9" ht="14" x14ac:dyDescent="0.3">
      <c r="A4" s="2" t="s">
        <v>10</v>
      </c>
      <c r="B4" s="3">
        <f>(148951+25403484+(2402967+2843032)+398015+8321068+5403512)</f>
        <v>44921029</v>
      </c>
      <c r="C4" s="3">
        <f t="shared" ref="C4:D6" si="0">(0+0+(0+0)+0+0+0)</f>
        <v>0</v>
      </c>
      <c r="D4" s="3">
        <f t="shared" si="0"/>
        <v>0</v>
      </c>
      <c r="E4" s="3">
        <f>((148951+25403484+(2402967+2843032)+398015+8321068+5403512)+(0+0+(0+0)+0+0+0)+(0+0+(0+0)+0+0+0))</f>
        <v>44921029</v>
      </c>
      <c r="F4" s="3">
        <f>(0+0+(0+0)+0+0+0)</f>
        <v>0</v>
      </c>
      <c r="G4" s="3">
        <f>(95403+25402809+(529646+400356)+189087+7868191+5344566)</f>
        <v>39830058</v>
      </c>
      <c r="H4" s="3">
        <f>((0+0+(0+0)+0+0+0)+(95403+25402809+(529646+400356)+189087+7868191+5344566))</f>
        <v>39830058</v>
      </c>
      <c r="I4" s="3">
        <f>(((148951+25403484+(2402967+2843032)+398015+8321068+5403512)+(0+0+(0+0)+0+0+0)+(0+0+(0+0)+0+0+0))-((0+0+(0+0)+0+0+0)+(95403+25402809+(529646+400356)+189087+7868191+5344566)))</f>
        <v>5090971</v>
      </c>
    </row>
    <row r="5" spans="1:9" ht="14" x14ac:dyDescent="0.3">
      <c r="A5" s="2" t="s">
        <v>11</v>
      </c>
      <c r="B5" s="3">
        <f>(0+0+(0+0)+0+0+726278)</f>
        <v>726278</v>
      </c>
      <c r="C5" s="3">
        <f t="shared" si="0"/>
        <v>0</v>
      </c>
      <c r="D5" s="3">
        <f t="shared" si="0"/>
        <v>0</v>
      </c>
      <c r="E5" s="3">
        <f>((0+0+(0+0)+0+0+726278)+(0+0+(0+0)+0+0+0)+(0+0+(0+0)+0+0+0))</f>
        <v>726278</v>
      </c>
      <c r="F5" s="3">
        <f>(0+0+(0+0)+0+0+0)</f>
        <v>0</v>
      </c>
      <c r="G5" s="3">
        <f>(0+0+(0+0)+0+0+317)</f>
        <v>317</v>
      </c>
      <c r="H5" s="3">
        <f>((0+0+(0+0)+0+0+0)+(0+0+(0+0)+0+0+317))</f>
        <v>317</v>
      </c>
      <c r="I5" s="3">
        <f>(((0+0+(0+0)+0+0+726278)+(0+0+(0+0)+0+0+0)+(0+0+(0+0)+0+0+0))-((0+0+(0+0)+0+0+0)+(0+0+(0+0)+0+0+317)))</f>
        <v>725961</v>
      </c>
    </row>
    <row r="6" spans="1:9" ht="14" x14ac:dyDescent="0.3">
      <c r="A6" s="2" t="s">
        <v>12</v>
      </c>
      <c r="B6" s="3">
        <f>(864856+2936926+(7534951+8789149)+1444607+4064496+3983984)</f>
        <v>29618969</v>
      </c>
      <c r="C6" s="3">
        <f t="shared" si="0"/>
        <v>0</v>
      </c>
      <c r="D6" s="3">
        <f t="shared" si="0"/>
        <v>0</v>
      </c>
      <c r="E6" s="3">
        <f>((864856+2936926+(7534951+8789149)+1444607+4064496+3983984)+(0+0+(0+0)+0+0+0)+(0+0+(0+0)+0+0+0))</f>
        <v>29618969</v>
      </c>
      <c r="F6" s="3">
        <f>(27268+139586+(0+0)+0+2500+0)</f>
        <v>169354</v>
      </c>
      <c r="G6" s="3">
        <f>(816759+2725469+(1252469+1134631)+1353327+4011432+2267524)</f>
        <v>13561611</v>
      </c>
      <c r="H6" s="3">
        <f>((27268+139586+(0+0)+0+2500+0)+(816759+2725469+(1252469+1134631)+1353327+4011432+2267524))</f>
        <v>13730965</v>
      </c>
      <c r="I6" s="3">
        <f>(((864856+2936926+(7534951+8789149)+1444607+4064496+3983984)+(0+0+(0+0)+0+0+0)+(0+0+(0+0)+0+0+0))-((27268+139586+(0+0)+0+2500+0)+(816759+2725469+(1252469+1134631)+1353327+4011432+2267524)))</f>
        <v>15888004</v>
      </c>
    </row>
    <row r="7" spans="1:9" ht="14" x14ac:dyDescent="0.3">
      <c r="A7" s="2" t="s">
        <v>13</v>
      </c>
      <c r="B7" s="3">
        <f>(233712+1719800+(520941+3657862)+316099+962667+842394)</f>
        <v>8253475</v>
      </c>
      <c r="C7" s="3">
        <f>(30250+587231+(0+0)+0+42544+3300)</f>
        <v>663325</v>
      </c>
      <c r="D7" s="3">
        <f t="shared" ref="D7:D12" si="1">(0+0+(0+0)+0+0+0)</f>
        <v>0</v>
      </c>
      <c r="E7" s="3">
        <f>((233712+1719800+(520941+3657862)+316099+962667+842394)+(30250+587231+(0+0)+0+42544+3300)+(0+0+(0+0)+0+0+0))</f>
        <v>8916800</v>
      </c>
      <c r="F7" s="3">
        <f>(0+10313+(0+0)+0+1550+0)</f>
        <v>11863</v>
      </c>
      <c r="G7" s="3">
        <f>(0+1224887+(0+1473623)+1000+203341+2772)</f>
        <v>2905623</v>
      </c>
      <c r="H7" s="3">
        <f>((0+10313+(0+0)+0+1550+0)+(0+1224887+(0+1473623)+1000+203341+2772))</f>
        <v>2917486</v>
      </c>
      <c r="I7" s="3">
        <f>(((233712+1719800+(520941+3657862)+316099+962667+842394)+(30250+587231+(0+0)+0+42544+3300)+(0+0+(0+0)+0+0+0))-((0+10313+(0+0)+0+1550+0)+(0+1224887+(0+1473623)+1000+203341+2772)))</f>
        <v>5999314</v>
      </c>
    </row>
    <row r="8" spans="1:9" ht="14" x14ac:dyDescent="0.3">
      <c r="A8" s="2" t="s">
        <v>14</v>
      </c>
      <c r="B8" s="3">
        <f>(1676053+8001071+(4240400+5071206)+1391212+19824053+602101)</f>
        <v>40806096</v>
      </c>
      <c r="C8" s="3">
        <f>(0+0+(0+0)+0+0+0)</f>
        <v>0</v>
      </c>
      <c r="D8" s="3">
        <f t="shared" si="1"/>
        <v>0</v>
      </c>
      <c r="E8" s="3">
        <f>((1676053+8001071+(4240400+5071206)+1391212+19824053+602101)+(0+0+(0+0)+0+0+0)+(0+0+(0+0)+0+0+0))</f>
        <v>40806096</v>
      </c>
      <c r="F8" s="3">
        <f>(0+166191+(0+0)+0+0+15500)</f>
        <v>181691</v>
      </c>
      <c r="G8" s="3">
        <f>(1604485+7424928+(486605+581944)+1296340+19471633+322689)</f>
        <v>31188624</v>
      </c>
      <c r="H8" s="3">
        <f>((0+166191+(0+0)+0+0+15500)+(1604485+7424928+(486605+581944)+1296340+19471633+322689))</f>
        <v>31370315</v>
      </c>
      <c r="I8" s="3">
        <f>(((1676053+8001071+(4240400+5071206)+1391212+19824053+602101)+(0+0+(0+0)+0+0+0)+(0+0+(0+0)+0+0+0))-((0+166191+(0+0)+0+0+15500)+(1604485+7424928+(486605+581944)+1296340+19471633+322689)))</f>
        <v>9435781</v>
      </c>
    </row>
    <row r="9" spans="1:9" ht="14" x14ac:dyDescent="0.3">
      <c r="A9" s="2" t="s">
        <v>15</v>
      </c>
      <c r="B9" s="3">
        <f>(1924+906518+(1929170+3192573)+259836+211278+31941)</f>
        <v>6533240</v>
      </c>
      <c r="C9" s="3">
        <f>(0+0+(0+0)+0+0+0)</f>
        <v>0</v>
      </c>
      <c r="D9" s="3">
        <f t="shared" si="1"/>
        <v>0</v>
      </c>
      <c r="E9" s="3">
        <f>((1924+906518+(1929170+3192573)+259836+211278+31941)+(0+0+(0+0)+0+0+0)+(0+0+(0+0)+0+0+0))</f>
        <v>6533240</v>
      </c>
      <c r="F9" s="3">
        <f>(136+81181+(1723+6305)+9437+15728+2269)</f>
        <v>116779</v>
      </c>
      <c r="G9" s="3">
        <f>(1171+696616+(14785+54107)+81155+134964+19467)</f>
        <v>1002265</v>
      </c>
      <c r="H9" s="3">
        <f>((136+81181+(1723+6305)+9437+15728+2269)+(1171+696616+(14785+54107)+81155+134964+19467))</f>
        <v>1119044</v>
      </c>
      <c r="I9" s="3">
        <f>(((1924+906518+(1929170+3192573)+259836+211278+31941)+(0+0+(0+0)+0+0+0)+(0+0+(0+0)+0+0+0))-((136+81181+(1723+6305)+9437+15728+2269)+(1171+696616+(14785+54107)+81155+134964+19467)))</f>
        <v>5414196</v>
      </c>
    </row>
    <row r="10" spans="1:9" ht="14" x14ac:dyDescent="0.3">
      <c r="A10" s="2" t="s">
        <v>16</v>
      </c>
      <c r="B10" s="3">
        <f>(0+80939+(408121+452262)+3000+10835+27)</f>
        <v>955184</v>
      </c>
      <c r="C10" s="3">
        <f>(0+70774+(0+0)+0+10200+0)</f>
        <v>80974</v>
      </c>
      <c r="D10" s="3">
        <f t="shared" si="1"/>
        <v>0</v>
      </c>
      <c r="E10" s="3">
        <f>((0+80939+(408121+452262)+3000+10835+27)+(0+70774+(0+0)+0+10200+0)+(0+0+(0+0)+0+0+0))</f>
        <v>1036158</v>
      </c>
      <c r="F10" s="3">
        <f>(0+0+(37113+34325)+0+0+0)</f>
        <v>71438</v>
      </c>
      <c r="G10" s="3">
        <f>(0+0+(0+0)+0+0+0)</f>
        <v>0</v>
      </c>
      <c r="H10" s="3">
        <f>((0+0+(37113+34325)+0+0+0)+(0+0+(0+0)+0+0+0))</f>
        <v>71438</v>
      </c>
      <c r="I10" s="3">
        <f>(((0+80939+(408121+452262)+3000+10835+27)+(0+70774+(0+0)+0+10200+0)+(0+0+(0+0)+0+0+0))-((0+0+(37113+34325)+0+0+0)+(0+0+(0+0)+0+0+0)))</f>
        <v>964720</v>
      </c>
    </row>
    <row r="11" spans="1:9" ht="14" x14ac:dyDescent="0.3">
      <c r="A11" s="2" t="s">
        <v>17</v>
      </c>
      <c r="B11" s="3">
        <f>(2616+50634+(152771+74872)+15092+4524+1731)</f>
        <v>302240</v>
      </c>
      <c r="C11" s="3">
        <f>(0+25337+(0+0)+0+0+0)</f>
        <v>25337</v>
      </c>
      <c r="D11" s="3">
        <f t="shared" si="1"/>
        <v>0</v>
      </c>
      <c r="E11" s="3">
        <f>((2616+50634+(152771+74872)+15092+4524+1731)+(0+25337+(0+0)+0+0+0)+(0+0+(0+0)+0+0+0))</f>
        <v>327577</v>
      </c>
      <c r="F11" s="3">
        <f>(0+0+(0+0)+0+0+0)</f>
        <v>0</v>
      </c>
      <c r="G11" s="3">
        <f>(1868+53435+(7548+4971)+0+3223+36)</f>
        <v>71081</v>
      </c>
      <c r="H11" s="3">
        <f>((0+0+(0+0)+0+0+0)+(1868+53435+(7548+4971)+0+3223+36))</f>
        <v>71081</v>
      </c>
      <c r="I11" s="3">
        <f>(((2616+50634+(152771+74872)+15092+4524+1731)+(0+25337+(0+0)+0+0+0)+(0+0+(0+0)+0+0+0))-((0+0+(0+0)+0+0+0)+(1868+53435+(7548+4971)+0+3223+36)))</f>
        <v>256496</v>
      </c>
    </row>
    <row r="12" spans="1:9" ht="14" x14ac:dyDescent="0.3">
      <c r="A12" s="2" t="s">
        <v>18</v>
      </c>
      <c r="B12" s="3">
        <f>(290790+1894641+(1970469+2075086)+1921780+4451049+225004)</f>
        <v>12828819</v>
      </c>
      <c r="C12" s="3">
        <f>(0+0+(0+0)+0+0+0)</f>
        <v>0</v>
      </c>
      <c r="D12" s="3">
        <f t="shared" si="1"/>
        <v>0</v>
      </c>
      <c r="E12" s="3">
        <f>((290790+1894641+(1970469+2075086)+1921780+4451049+225004)+(0+0+(0+0)+0+0+0)+(0+0+(0+0)+0+0+0))</f>
        <v>12828819</v>
      </c>
      <c r="F12" s="3">
        <f>(0+23340+(0+0)+0+21638+0)</f>
        <v>44978</v>
      </c>
      <c r="G12" s="3">
        <f>(258661+1772027+(1083381+886403)+1887187+4305865+186355)</f>
        <v>10379879</v>
      </c>
      <c r="H12" s="3">
        <f>((0+23340+(0+0)+0+21638+0)+(258661+1772027+(1083381+886403)+1887187+4305865+186355))</f>
        <v>10424857</v>
      </c>
      <c r="I12" s="3">
        <f>(((290790+1894641+(1970469+2075086)+1921780+4451049+225004)+(0+0+(0+0)+0+0+0)+(0+0+(0+0)+0+0+0))-((0+23340+(0+0)+0+21638+0)+(258661+1772027+(1083381+886403)+1887187+4305865+186355)))</f>
        <v>2403962</v>
      </c>
    </row>
    <row r="13" spans="1:9" ht="14" x14ac:dyDescent="0.3">
      <c r="A13" s="2" t="s">
        <v>19</v>
      </c>
      <c r="B13" s="3">
        <f>(709151+2051420+(111726+500)+92880+204591+590669)</f>
        <v>3760937</v>
      </c>
      <c r="C13" s="3">
        <f>(0+50506+(0+0)+0+3868+55055)</f>
        <v>109429</v>
      </c>
      <c r="D13" s="3">
        <f>(0+0+(0+0)+0+0+1166)</f>
        <v>1166</v>
      </c>
      <c r="E13" s="3">
        <f>((709151+2051420+(111726+500)+92880+204591+590669)+(0+50506+(0+0)+0+3868+55055)+(0+0+(0+0)+0+0+1166))</f>
        <v>3871532</v>
      </c>
      <c r="F13" s="3">
        <f>(0+1781+(0+0)+0+25+0)</f>
        <v>1806</v>
      </c>
      <c r="G13" s="3">
        <f>(610529+2026574+(23431+0)+82675+192590+526584)</f>
        <v>3462383</v>
      </c>
      <c r="H13" s="3">
        <f>((0+1781+(0+0)+0+25+0)+(610529+2026574+(23431+0)+82675+192590+526584))</f>
        <v>3464189</v>
      </c>
      <c r="I13" s="3">
        <f>(((709151+2051420+(111726+500)+92880+204591+590669)+(0+50506+(0+0)+0+3868+55055)+(0+0+(0+0)+0+0+1166))-((0+1781+(0+0)+0+25+0)+(610529+2026574+(23431+0)+82675+192590+526584)))</f>
        <v>407343</v>
      </c>
    </row>
    <row r="14" spans="1:9" ht="14" x14ac:dyDescent="0.3">
      <c r="A14" s="2" t="s">
        <v>20</v>
      </c>
      <c r="B14" s="3">
        <f>(0+0+(100+0)+0+0+0)</f>
        <v>100</v>
      </c>
      <c r="C14" s="3">
        <f>(0+0+(0+0)+0+0+0)</f>
        <v>0</v>
      </c>
      <c r="D14" s="3">
        <f>(0+0+(0+0)+0+0+0)</f>
        <v>0</v>
      </c>
      <c r="E14" s="3">
        <f>((0+0+(100+0)+0+0+0)+(0+0+(0+0)+0+0+0)+(0+0+(0+0)+0+0+0))</f>
        <v>100</v>
      </c>
      <c r="F14" s="3">
        <f>(0+0+(0+0)+0+0+0)</f>
        <v>0</v>
      </c>
      <c r="G14" s="3">
        <f>(0+0+(0+0)+0+0+0)</f>
        <v>0</v>
      </c>
      <c r="H14" s="3">
        <f>((0+0+(0+0)+0+0+0)+(0+0+(0+0)+0+0+0))</f>
        <v>0</v>
      </c>
      <c r="I14" s="3">
        <f>(((0+0+(100+0)+0+0+0)+(0+0+(0+0)+0+0+0)+(0+0+(0+0)+0+0+0))-((0+0+(0+0)+0+0+0)+(0+0+(0+0)+0+0+0)))</f>
        <v>100</v>
      </c>
    </row>
    <row r="15" spans="1:9" ht="14" x14ac:dyDescent="0.3">
      <c r="A15" s="2" t="s">
        <v>21</v>
      </c>
      <c r="B15" s="3">
        <f>(5761291+22511707+(3682572+9526705)+1145741+2686412+2392064)</f>
        <v>47706492</v>
      </c>
      <c r="C15" s="3">
        <f>(0+0+(0+0)+0+0+0)</f>
        <v>0</v>
      </c>
      <c r="D15" s="3">
        <f>(0+0+(0+0)+0+0+0)</f>
        <v>0</v>
      </c>
      <c r="E15" s="3">
        <f>((5761291+22511707+(3682572+9526705)+1145741+2686412+2392064)+(0+0+(0+0)+0+0+0)+(0+0+(0+0)+0+0+0))</f>
        <v>47706492</v>
      </c>
      <c r="F15" s="3">
        <f>(0+0+(0+0)+0+0+0)</f>
        <v>0</v>
      </c>
      <c r="G15" s="3">
        <f>(5558002+21729710+(169673+422253)+706326+2522589+1479522)</f>
        <v>32588075</v>
      </c>
      <c r="H15" s="3">
        <f>((0+0+(0+0)+0+0+0)+(5558002+21729710+(169673+422253)+706326+2522589+1479522))</f>
        <v>32588075</v>
      </c>
      <c r="I15" s="3">
        <f>(((5761291+22511707+(3682572+9526705)+1145741+2686412+2392064)+(0+0+(0+0)+0+0+0)+(0+0+(0+0)+0+0+0))-((0+0+(0+0)+0+0+0)+(5558002+21729710+(169673+422253)+706326+2522589+1479522)))</f>
        <v>15118417</v>
      </c>
    </row>
    <row r="16" spans="1:9" ht="14" x14ac:dyDescent="0.3">
      <c r="A16" s="2" t="s">
        <v>22</v>
      </c>
      <c r="B16" s="3">
        <f>(462276+2261965+(27593+0)+122973+190011+192129)</f>
        <v>3256947</v>
      </c>
      <c r="C16" s="3">
        <f>(8399+241701+(0+0)+0+1330478+(-13))</f>
        <v>1580565</v>
      </c>
      <c r="D16" s="3">
        <f>(0+0+(0+0)+0+0+0)</f>
        <v>0</v>
      </c>
      <c r="E16" s="3">
        <f>((462276+2261965+(27593+0)+122973+190011+192129)+(8399+241701+(0+0)+0+1330478+(-13))+(0+0+(0+0)+0+0+0))</f>
        <v>4837512</v>
      </c>
      <c r="F16" s="3">
        <f>(0+0+(0+0)+0+0+0)</f>
        <v>0</v>
      </c>
      <c r="G16" s="3">
        <f>(412250+2360691+(21119+0)+122669+1267542+183341)</f>
        <v>4367612</v>
      </c>
      <c r="H16" s="3">
        <f>((0+0+(0+0)+0+0+0)+(412250+2360691+(21119+0)+122669+1267542+183341))</f>
        <v>4367612</v>
      </c>
      <c r="I16" s="3">
        <f>(((462276+2261965+(27593+0)+122973+190011+192129)+(8399+241701+(0+0)+0+1330478+(-13))+(0+0+(0+0)+0+0+0))-((0+0+(0+0)+0+0+0)+(412250+2360691+(21119+0)+122669+1267542+183341)))</f>
        <v>469900</v>
      </c>
    </row>
    <row r="17" spans="1:9" ht="14" x14ac:dyDescent="0.3">
      <c r="A17" s="2" t="s">
        <v>23</v>
      </c>
      <c r="B17" s="3">
        <f>(55749+2067554+(2149652+2805779)+176188+934830+513442)</f>
        <v>8703194</v>
      </c>
      <c r="C17" s="3">
        <f>(0+0+(0+0)+0+0+0)</f>
        <v>0</v>
      </c>
      <c r="D17" s="3">
        <f>(0+0+(0+0)+0+0+0)</f>
        <v>0</v>
      </c>
      <c r="E17" s="3">
        <f>((55749+2067554+(2149652+2805779)+176188+934830+513442)+(0+0+(0+0)+0+0+0)+(0+0+(0+0)+0+0+0))</f>
        <v>8703194</v>
      </c>
      <c r="F17" s="3">
        <f>(0+0+(0+0)+0+0+0)</f>
        <v>0</v>
      </c>
      <c r="G17" s="3">
        <f>(50022+1967066+(802267+1057225)+129448+841017+448064)</f>
        <v>5295109</v>
      </c>
      <c r="H17" s="3">
        <f>((0+0+(0+0)+0+0+0)+(50022+1967066+(802267+1057225)+129448+841017+448064))</f>
        <v>5295109</v>
      </c>
      <c r="I17" s="3">
        <f>(((55749+2067554+(2149652+2805779)+176188+934830+513442)+(0+0+(0+0)+0+0+0)+(0+0+(0+0)+0+0+0))-((0+0+(0+0)+0+0+0)+(50022+1967066+(802267+1057225)+129448+841017+448064)))</f>
        <v>3408085</v>
      </c>
    </row>
    <row r="18" spans="1:9" ht="14" x14ac:dyDescent="0.3">
      <c r="A18" s="2" t="s">
        <v>24</v>
      </c>
      <c r="B18" s="3">
        <f>(42458+8957641+(0+0)+123646+820186+364629)</f>
        <v>10308560</v>
      </c>
      <c r="C18" s="3">
        <f>(0+0+(0+0)+0+0+0)</f>
        <v>0</v>
      </c>
      <c r="D18" s="3">
        <f>(0+0+(0+0)+0+0+0)</f>
        <v>0</v>
      </c>
      <c r="E18" s="3">
        <f>((42458+8957641+(0+0)+123646+820186+364629)+(0+0+(0+0)+0+0+0)+(0+0+(0+0)+0+0+0))</f>
        <v>10308560</v>
      </c>
      <c r="F18" s="3">
        <f>(0+593630+(0+0)+0+44698+5440)</f>
        <v>643768</v>
      </c>
      <c r="G18" s="3">
        <f>(104889+4914719+(0+0)+14291+415337+50380)</f>
        <v>5499616</v>
      </c>
      <c r="H18" s="3">
        <f>((0+593630+(0+0)+0+44698+5440)+(104889+4914719+(0+0)+14291+415337+50380))</f>
        <v>6143384</v>
      </c>
      <c r="I18" s="3">
        <f>(((42458+8957641+(0+0)+123646+820186+364629)+(0+0+(0+0)+0+0+0)+(0+0+(0+0)+0+0+0))-((0+593630+(0+0)+0+44698+5440)+(104889+4914719+(0+0)+14291+415337+50380)))</f>
        <v>4165176</v>
      </c>
    </row>
    <row r="19" spans="1:9" ht="14" x14ac:dyDescent="0.3">
      <c r="A19" s="2" t="s">
        <v>25</v>
      </c>
      <c r="B19" s="3">
        <f>(2587697+2538445+(2398080+1598872)+83052+1125590+566887)</f>
        <v>10898623</v>
      </c>
      <c r="C19" s="3">
        <f>(47388+272766+(0+0)+0+0+0)</f>
        <v>320154</v>
      </c>
      <c r="D19" s="3">
        <f>(0+0+(0+0)+0+0+0)</f>
        <v>0</v>
      </c>
      <c r="E19" s="3">
        <f>((2587697+2538445+(2398080+1598872)+83052+1125590+566887)+(47388+272766+(0+0)+0+0+0)+(0+0+(0+0)+0+0+0))</f>
        <v>11218777</v>
      </c>
      <c r="F19" s="3">
        <f>((-738)+25207+((-250)+0)+0+86+0)</f>
        <v>24305</v>
      </c>
      <c r="G19" s="3">
        <f>(1499176+780521+(0+0)+29547+345608+(-193))</f>
        <v>2654659</v>
      </c>
      <c r="H19" s="3">
        <f>(((-738)+25207+((-250)+0)+0+86+0)+(1499176+780521+(0+0)+29547+345608+(-193)))</f>
        <v>2678964</v>
      </c>
      <c r="I19" s="3">
        <f>(((2587697+2538445+(2398080+1598872)+83052+1125590+566887)+(47388+272766+(0+0)+0+0+0)+(0+0+(0+0)+0+0+0))-(((-738)+25207+((-250)+0)+0+86+0)+(1499176+780521+(0+0)+29547+345608+(-193))))</f>
        <v>8539813</v>
      </c>
    </row>
    <row r="20" spans="1:9" ht="14" x14ac:dyDescent="0.3">
      <c r="A20" s="5" t="s">
        <v>26</v>
      </c>
      <c r="B20" s="5"/>
      <c r="C20" s="5"/>
      <c r="D20" s="5"/>
      <c r="E20" s="5"/>
      <c r="F20" s="5"/>
      <c r="G20" s="5"/>
      <c r="H20" s="5"/>
      <c r="I20" s="5"/>
    </row>
    <row r="21" spans="1:9" ht="14" x14ac:dyDescent="0.3">
      <c r="A21" s="4" t="s">
        <v>1</v>
      </c>
      <c r="B21" s="1" t="s">
        <v>2</v>
      </c>
      <c r="C21" s="1" t="s">
        <v>3</v>
      </c>
      <c r="D21" s="1" t="s">
        <v>4</v>
      </c>
      <c r="E21" s="1" t="s">
        <v>5</v>
      </c>
      <c r="F21" s="1" t="s">
        <v>6</v>
      </c>
      <c r="G21" s="1" t="s">
        <v>7</v>
      </c>
      <c r="H21" s="1" t="s">
        <v>8</v>
      </c>
      <c r="I21" s="1" t="s">
        <v>9</v>
      </c>
    </row>
    <row r="22" spans="1:9" ht="14" x14ac:dyDescent="0.3">
      <c r="A22" s="4"/>
      <c r="B22" s="1">
        <v>2024</v>
      </c>
      <c r="C22" s="1">
        <v>2024</v>
      </c>
      <c r="D22" s="1">
        <v>2024</v>
      </c>
      <c r="E22" s="1">
        <v>2024</v>
      </c>
      <c r="F22" s="1">
        <v>2024</v>
      </c>
      <c r="G22" s="1">
        <v>2024</v>
      </c>
      <c r="H22" s="1">
        <v>2024</v>
      </c>
      <c r="I22" s="1">
        <v>2024</v>
      </c>
    </row>
    <row r="23" spans="1:9" ht="14" x14ac:dyDescent="0.3">
      <c r="A23" s="2" t="s">
        <v>10</v>
      </c>
      <c r="B23" s="3">
        <f>148951</f>
        <v>148951</v>
      </c>
      <c r="C23" s="3">
        <f>0</f>
        <v>0</v>
      </c>
      <c r="D23" s="3">
        <f>0</f>
        <v>0</v>
      </c>
      <c r="E23" s="3">
        <f>(148951+0+0)</f>
        <v>148951</v>
      </c>
      <c r="F23" s="3">
        <f>0</f>
        <v>0</v>
      </c>
      <c r="G23" s="3">
        <f>95403</f>
        <v>95403</v>
      </c>
      <c r="H23" s="3">
        <f>(0+95403)</f>
        <v>95403</v>
      </c>
      <c r="I23" s="3">
        <f>((148951+0+0)-(0+95403))</f>
        <v>53548</v>
      </c>
    </row>
    <row r="24" spans="1:9" ht="14" x14ac:dyDescent="0.3">
      <c r="A24" s="2" t="s">
        <v>11</v>
      </c>
      <c r="B24" s="3">
        <f>0</f>
        <v>0</v>
      </c>
      <c r="C24" s="3">
        <f>0</f>
        <v>0</v>
      </c>
      <c r="D24" s="3">
        <f>0</f>
        <v>0</v>
      </c>
      <c r="E24" s="3">
        <f>(0+0+0)</f>
        <v>0</v>
      </c>
      <c r="F24" s="3">
        <f>0</f>
        <v>0</v>
      </c>
      <c r="G24" s="3">
        <f>0</f>
        <v>0</v>
      </c>
      <c r="H24" s="3">
        <f>(0+0)</f>
        <v>0</v>
      </c>
      <c r="I24" s="3">
        <f>((0+0+0)-(0+0))</f>
        <v>0</v>
      </c>
    </row>
    <row r="25" spans="1:9" ht="14" x14ac:dyDescent="0.3">
      <c r="A25" s="2" t="s">
        <v>12</v>
      </c>
      <c r="B25" s="3">
        <f>864856</f>
        <v>864856</v>
      </c>
      <c r="C25" s="3">
        <f>0</f>
        <v>0</v>
      </c>
      <c r="D25" s="3">
        <f>0</f>
        <v>0</v>
      </c>
      <c r="E25" s="3">
        <f>(864856+0+0)</f>
        <v>864856</v>
      </c>
      <c r="F25" s="3">
        <f>27268</f>
        <v>27268</v>
      </c>
      <c r="G25" s="3">
        <f>816759</f>
        <v>816759</v>
      </c>
      <c r="H25" s="3">
        <f>(27268+816759)</f>
        <v>844027</v>
      </c>
      <c r="I25" s="3">
        <f>((864856+0+0)-(27268+816759))</f>
        <v>20829</v>
      </c>
    </row>
    <row r="26" spans="1:9" ht="14" x14ac:dyDescent="0.3">
      <c r="A26" s="2" t="s">
        <v>13</v>
      </c>
      <c r="B26" s="3">
        <f>233712</f>
        <v>233712</v>
      </c>
      <c r="C26" s="3">
        <f>30250</f>
        <v>30250</v>
      </c>
      <c r="D26" s="3">
        <f>0</f>
        <v>0</v>
      </c>
      <c r="E26" s="3">
        <f>(233712+30250+0)</f>
        <v>263962</v>
      </c>
      <c r="F26" s="3">
        <f>0</f>
        <v>0</v>
      </c>
      <c r="G26" s="3">
        <f>0</f>
        <v>0</v>
      </c>
      <c r="H26" s="3">
        <f>(0+0)</f>
        <v>0</v>
      </c>
      <c r="I26" s="3">
        <f>((233712+30250+0)-(0+0))</f>
        <v>263962</v>
      </c>
    </row>
    <row r="27" spans="1:9" ht="14" x14ac:dyDescent="0.3">
      <c r="A27" s="2" t="s">
        <v>14</v>
      </c>
      <c r="B27" s="3">
        <f>1676053</f>
        <v>1676053</v>
      </c>
      <c r="C27" s="3">
        <f>0</f>
        <v>0</v>
      </c>
      <c r="D27" s="3">
        <f>0</f>
        <v>0</v>
      </c>
      <c r="E27" s="3">
        <f>(1676053+0+0)</f>
        <v>1676053</v>
      </c>
      <c r="F27" s="3">
        <f>0</f>
        <v>0</v>
      </c>
      <c r="G27" s="3">
        <f>1604485</f>
        <v>1604485</v>
      </c>
      <c r="H27" s="3">
        <f>(0+1604485)</f>
        <v>1604485</v>
      </c>
      <c r="I27" s="3">
        <f>((1676053+0+0)-(0+1604485))</f>
        <v>71568</v>
      </c>
    </row>
    <row r="28" spans="1:9" ht="14" x14ac:dyDescent="0.3">
      <c r="A28" s="2" t="s">
        <v>15</v>
      </c>
      <c r="B28" s="3">
        <f>1924</f>
        <v>1924</v>
      </c>
      <c r="C28" s="3">
        <f>0</f>
        <v>0</v>
      </c>
      <c r="D28" s="3">
        <f>0</f>
        <v>0</v>
      </c>
      <c r="E28" s="3">
        <f>(1924+0+0)</f>
        <v>1924</v>
      </c>
      <c r="F28" s="3">
        <f>136</f>
        <v>136</v>
      </c>
      <c r="G28" s="3">
        <f>1171</f>
        <v>1171</v>
      </c>
      <c r="H28" s="3">
        <f>(136+1171)</f>
        <v>1307</v>
      </c>
      <c r="I28" s="3">
        <f>((1924+0+0)-(136+1171))</f>
        <v>617</v>
      </c>
    </row>
    <row r="29" spans="1:9" ht="14" x14ac:dyDescent="0.3">
      <c r="A29" s="2" t="s">
        <v>16</v>
      </c>
      <c r="B29" s="3">
        <f>0</f>
        <v>0</v>
      </c>
      <c r="C29" s="3">
        <f>0</f>
        <v>0</v>
      </c>
      <c r="D29" s="3">
        <f>0</f>
        <v>0</v>
      </c>
      <c r="E29" s="3">
        <f>(0+0+0)</f>
        <v>0</v>
      </c>
      <c r="F29" s="3">
        <f>0</f>
        <v>0</v>
      </c>
      <c r="G29" s="3">
        <f>0</f>
        <v>0</v>
      </c>
      <c r="H29" s="3">
        <f>(0+0)</f>
        <v>0</v>
      </c>
      <c r="I29" s="3">
        <f>((0+0+0)-(0+0))</f>
        <v>0</v>
      </c>
    </row>
    <row r="30" spans="1:9" ht="14" x14ac:dyDescent="0.3">
      <c r="A30" s="2" t="s">
        <v>17</v>
      </c>
      <c r="B30" s="3">
        <f>2616</f>
        <v>2616</v>
      </c>
      <c r="C30" s="3">
        <f>0</f>
        <v>0</v>
      </c>
      <c r="D30" s="3">
        <f>0</f>
        <v>0</v>
      </c>
      <c r="E30" s="3">
        <f>(2616+0+0)</f>
        <v>2616</v>
      </c>
      <c r="F30" s="3">
        <f>0</f>
        <v>0</v>
      </c>
      <c r="G30" s="3">
        <f>1868</f>
        <v>1868</v>
      </c>
      <c r="H30" s="3">
        <f>(0+1868)</f>
        <v>1868</v>
      </c>
      <c r="I30" s="3">
        <f>((2616+0+0)-(0+1868))</f>
        <v>748</v>
      </c>
    </row>
    <row r="31" spans="1:9" ht="14" x14ac:dyDescent="0.3">
      <c r="A31" s="2" t="s">
        <v>18</v>
      </c>
      <c r="B31" s="3">
        <f>290790</f>
        <v>290790</v>
      </c>
      <c r="C31" s="3">
        <f>0</f>
        <v>0</v>
      </c>
      <c r="D31" s="3">
        <f>0</f>
        <v>0</v>
      </c>
      <c r="E31" s="3">
        <f>(290790+0+0)</f>
        <v>290790</v>
      </c>
      <c r="F31" s="3">
        <f>0</f>
        <v>0</v>
      </c>
      <c r="G31" s="3">
        <f>258661</f>
        <v>258661</v>
      </c>
      <c r="H31" s="3">
        <f>(0+258661)</f>
        <v>258661</v>
      </c>
      <c r="I31" s="3">
        <f>((290790+0+0)-(0+258661))</f>
        <v>32129</v>
      </c>
    </row>
    <row r="32" spans="1:9" ht="14" x14ac:dyDescent="0.3">
      <c r="A32" s="2" t="s">
        <v>19</v>
      </c>
      <c r="B32" s="3">
        <f>709151</f>
        <v>709151</v>
      </c>
      <c r="C32" s="3">
        <f>0</f>
        <v>0</v>
      </c>
      <c r="D32" s="3">
        <f>0</f>
        <v>0</v>
      </c>
      <c r="E32" s="3">
        <f>(709151+0+0)</f>
        <v>709151</v>
      </c>
      <c r="F32" s="3">
        <f>0</f>
        <v>0</v>
      </c>
      <c r="G32" s="3">
        <f>610529</f>
        <v>610529</v>
      </c>
      <c r="H32" s="3">
        <f>(0+610529)</f>
        <v>610529</v>
      </c>
      <c r="I32" s="3">
        <f>((709151+0+0)-(0+610529))</f>
        <v>98622</v>
      </c>
    </row>
    <row r="33" spans="1:9" ht="14" x14ac:dyDescent="0.3">
      <c r="A33" s="2" t="s">
        <v>20</v>
      </c>
      <c r="B33" s="3">
        <f>0</f>
        <v>0</v>
      </c>
      <c r="C33" s="3">
        <f>0</f>
        <v>0</v>
      </c>
      <c r="D33" s="3">
        <f>0</f>
        <v>0</v>
      </c>
      <c r="E33" s="3">
        <f>(0+0+0)</f>
        <v>0</v>
      </c>
      <c r="F33" s="3">
        <f>0</f>
        <v>0</v>
      </c>
      <c r="G33" s="3">
        <f>0</f>
        <v>0</v>
      </c>
      <c r="H33" s="3">
        <f>(0+0)</f>
        <v>0</v>
      </c>
      <c r="I33" s="3">
        <f>((0+0+0)-(0+0))</f>
        <v>0</v>
      </c>
    </row>
    <row r="34" spans="1:9" ht="14" x14ac:dyDescent="0.3">
      <c r="A34" s="2" t="s">
        <v>21</v>
      </c>
      <c r="B34" s="3">
        <f>5761291</f>
        <v>5761291</v>
      </c>
      <c r="C34" s="3">
        <f>0</f>
        <v>0</v>
      </c>
      <c r="D34" s="3">
        <f>0</f>
        <v>0</v>
      </c>
      <c r="E34" s="3">
        <f>(5761291+0+0)</f>
        <v>5761291</v>
      </c>
      <c r="F34" s="3">
        <f>0</f>
        <v>0</v>
      </c>
      <c r="G34" s="3">
        <f>5558002</f>
        <v>5558002</v>
      </c>
      <c r="H34" s="3">
        <f>(0+5558002)</f>
        <v>5558002</v>
      </c>
      <c r="I34" s="3">
        <f>((5761291+0+0)-(0+5558002))</f>
        <v>203289</v>
      </c>
    </row>
    <row r="35" spans="1:9" ht="14" x14ac:dyDescent="0.3">
      <c r="A35" s="2" t="s">
        <v>22</v>
      </c>
      <c r="B35" s="3">
        <f>462276</f>
        <v>462276</v>
      </c>
      <c r="C35" s="3">
        <f>8399</f>
        <v>8399</v>
      </c>
      <c r="D35" s="3">
        <f>0</f>
        <v>0</v>
      </c>
      <c r="E35" s="3">
        <f>(462276+8399+0)</f>
        <v>470675</v>
      </c>
      <c r="F35" s="3">
        <f>0</f>
        <v>0</v>
      </c>
      <c r="G35" s="3">
        <f>412250</f>
        <v>412250</v>
      </c>
      <c r="H35" s="3">
        <f>(0+412250)</f>
        <v>412250</v>
      </c>
      <c r="I35" s="3">
        <f>((462276+8399+0)-(0+412250))</f>
        <v>58425</v>
      </c>
    </row>
    <row r="36" spans="1:9" ht="14" x14ac:dyDescent="0.3">
      <c r="A36" s="2" t="s">
        <v>23</v>
      </c>
      <c r="B36" s="3">
        <f>55749</f>
        <v>55749</v>
      </c>
      <c r="C36" s="3">
        <f>0</f>
        <v>0</v>
      </c>
      <c r="D36" s="3">
        <f>0</f>
        <v>0</v>
      </c>
      <c r="E36" s="3">
        <f>(55749+0+0)</f>
        <v>55749</v>
      </c>
      <c r="F36" s="3">
        <f>0</f>
        <v>0</v>
      </c>
      <c r="G36" s="3">
        <f>50022</f>
        <v>50022</v>
      </c>
      <c r="H36" s="3">
        <f>(0+50022)</f>
        <v>50022</v>
      </c>
      <c r="I36" s="3">
        <f>((55749+0+0)-(0+50022))</f>
        <v>5727</v>
      </c>
    </row>
    <row r="37" spans="1:9" ht="14" x14ac:dyDescent="0.3">
      <c r="A37" s="2" t="s">
        <v>24</v>
      </c>
      <c r="B37" s="3">
        <f>42458</f>
        <v>42458</v>
      </c>
      <c r="C37" s="3">
        <f>0</f>
        <v>0</v>
      </c>
      <c r="D37" s="3">
        <f>0</f>
        <v>0</v>
      </c>
      <c r="E37" s="3">
        <f>(42458+0+0)</f>
        <v>42458</v>
      </c>
      <c r="F37" s="3">
        <f>0</f>
        <v>0</v>
      </c>
      <c r="G37" s="3">
        <f>104889</f>
        <v>104889</v>
      </c>
      <c r="H37" s="3">
        <f>(0+104889)</f>
        <v>104889</v>
      </c>
      <c r="I37" s="3">
        <f>((42458+0+0)-(0+104889))</f>
        <v>-62431</v>
      </c>
    </row>
    <row r="38" spans="1:9" ht="14" x14ac:dyDescent="0.3">
      <c r="A38" s="2" t="s">
        <v>25</v>
      </c>
      <c r="B38" s="3">
        <f>2587697</f>
        <v>2587697</v>
      </c>
      <c r="C38" s="3">
        <f>47388</f>
        <v>47388</v>
      </c>
      <c r="D38" s="3">
        <f>0</f>
        <v>0</v>
      </c>
      <c r="E38" s="3">
        <f>(2587697+47388+0)</f>
        <v>2635085</v>
      </c>
      <c r="F38" s="3">
        <f>(-738)</f>
        <v>-738</v>
      </c>
      <c r="G38" s="3">
        <f>1499176</f>
        <v>1499176</v>
      </c>
      <c r="H38" s="3">
        <f>((-738)+1499176)</f>
        <v>1498438</v>
      </c>
      <c r="I38" s="3">
        <f>((2587697+47388+0)-((-738)+1499176))</f>
        <v>1136647</v>
      </c>
    </row>
    <row r="39" spans="1:9" ht="14" x14ac:dyDescent="0.3">
      <c r="A39" s="5" t="s">
        <v>27</v>
      </c>
      <c r="B39" s="5"/>
      <c r="C39" s="5"/>
      <c r="D39" s="5"/>
      <c r="E39" s="5"/>
      <c r="F39" s="5"/>
      <c r="G39" s="5"/>
      <c r="H39" s="5"/>
      <c r="I39" s="5"/>
    </row>
    <row r="40" spans="1:9" ht="14" x14ac:dyDescent="0.3">
      <c r="A40" s="4" t="s">
        <v>1</v>
      </c>
      <c r="B40" s="1" t="s">
        <v>2</v>
      </c>
      <c r="C40" s="1" t="s">
        <v>3</v>
      </c>
      <c r="D40" s="1" t="s">
        <v>4</v>
      </c>
      <c r="E40" s="1" t="s">
        <v>5</v>
      </c>
      <c r="F40" s="1" t="s">
        <v>6</v>
      </c>
      <c r="G40" s="1" t="s">
        <v>7</v>
      </c>
      <c r="H40" s="1" t="s">
        <v>8</v>
      </c>
      <c r="I40" s="1" t="s">
        <v>9</v>
      </c>
    </row>
    <row r="41" spans="1:9" ht="14" x14ac:dyDescent="0.3">
      <c r="A41" s="4"/>
      <c r="B41" s="1">
        <v>2024</v>
      </c>
      <c r="C41" s="1">
        <v>2024</v>
      </c>
      <c r="D41" s="1">
        <v>2024</v>
      </c>
      <c r="E41" s="1">
        <v>2024</v>
      </c>
      <c r="F41" s="1">
        <v>2024</v>
      </c>
      <c r="G41" s="1">
        <v>2024</v>
      </c>
      <c r="H41" s="1">
        <v>2024</v>
      </c>
      <c r="I41" s="1">
        <v>2024</v>
      </c>
    </row>
    <row r="42" spans="1:9" ht="14" x14ac:dyDescent="0.3">
      <c r="A42" s="2" t="s">
        <v>10</v>
      </c>
      <c r="B42" s="3">
        <f>25403484</f>
        <v>25403484</v>
      </c>
      <c r="C42" s="3">
        <f>0</f>
        <v>0</v>
      </c>
      <c r="D42" s="3">
        <f>0</f>
        <v>0</v>
      </c>
      <c r="E42" s="3">
        <f>(25403484+0+0)</f>
        <v>25403484</v>
      </c>
      <c r="F42" s="3">
        <f>0</f>
        <v>0</v>
      </c>
      <c r="G42" s="3">
        <f>25402809</f>
        <v>25402809</v>
      </c>
      <c r="H42" s="3">
        <f>(0+25402809)</f>
        <v>25402809</v>
      </c>
      <c r="I42" s="3">
        <f>((25403484+0+0)-(0+25402809))</f>
        <v>675</v>
      </c>
    </row>
    <row r="43" spans="1:9" ht="14" x14ac:dyDescent="0.3">
      <c r="A43" s="2" t="s">
        <v>11</v>
      </c>
      <c r="B43" s="3">
        <f>0</f>
        <v>0</v>
      </c>
      <c r="C43" s="3">
        <f>0</f>
        <v>0</v>
      </c>
      <c r="D43" s="3">
        <f>0</f>
        <v>0</v>
      </c>
      <c r="E43" s="3">
        <f>(0+0+0)</f>
        <v>0</v>
      </c>
      <c r="F43" s="3">
        <f>0</f>
        <v>0</v>
      </c>
      <c r="G43" s="3">
        <f>0</f>
        <v>0</v>
      </c>
      <c r="H43" s="3">
        <f>(0+0)</f>
        <v>0</v>
      </c>
      <c r="I43" s="3">
        <f>((0+0+0)-(0+0))</f>
        <v>0</v>
      </c>
    </row>
    <row r="44" spans="1:9" ht="14" x14ac:dyDescent="0.3">
      <c r="A44" s="2" t="s">
        <v>12</v>
      </c>
      <c r="B44" s="3">
        <f>2936926</f>
        <v>2936926</v>
      </c>
      <c r="C44" s="3">
        <f>0</f>
        <v>0</v>
      </c>
      <c r="D44" s="3">
        <f>0</f>
        <v>0</v>
      </c>
      <c r="E44" s="3">
        <f>(2936926+0+0)</f>
        <v>2936926</v>
      </c>
      <c r="F44" s="3">
        <f>139586</f>
        <v>139586</v>
      </c>
      <c r="G44" s="3">
        <f>2725469</f>
        <v>2725469</v>
      </c>
      <c r="H44" s="3">
        <f>(139586+2725469)</f>
        <v>2865055</v>
      </c>
      <c r="I44" s="3">
        <f>((2936926+0+0)-(139586+2725469))</f>
        <v>71871</v>
      </c>
    </row>
    <row r="45" spans="1:9" ht="14" x14ac:dyDescent="0.3">
      <c r="A45" s="2" t="s">
        <v>13</v>
      </c>
      <c r="B45" s="3">
        <f>1719800</f>
        <v>1719800</v>
      </c>
      <c r="C45" s="3">
        <f>587231</f>
        <v>587231</v>
      </c>
      <c r="D45" s="3">
        <f>0</f>
        <v>0</v>
      </c>
      <c r="E45" s="3">
        <f>(1719800+587231+0)</f>
        <v>2307031</v>
      </c>
      <c r="F45" s="3">
        <f>10313</f>
        <v>10313</v>
      </c>
      <c r="G45" s="3">
        <f>1224887</f>
        <v>1224887</v>
      </c>
      <c r="H45" s="3">
        <f>(10313+1224887)</f>
        <v>1235200</v>
      </c>
      <c r="I45" s="3">
        <f>((1719800+587231+0)-(10313+1224887))</f>
        <v>1071831</v>
      </c>
    </row>
    <row r="46" spans="1:9" ht="14" x14ac:dyDescent="0.3">
      <c r="A46" s="2" t="s">
        <v>14</v>
      </c>
      <c r="B46" s="3">
        <f>8001071</f>
        <v>8001071</v>
      </c>
      <c r="C46" s="3">
        <f>0</f>
        <v>0</v>
      </c>
      <c r="D46" s="3">
        <f>0</f>
        <v>0</v>
      </c>
      <c r="E46" s="3">
        <f>(8001071+0+0)</f>
        <v>8001071</v>
      </c>
      <c r="F46" s="3">
        <f>166191</f>
        <v>166191</v>
      </c>
      <c r="G46" s="3">
        <f>7424928</f>
        <v>7424928</v>
      </c>
      <c r="H46" s="3">
        <f>(166191+7424928)</f>
        <v>7591119</v>
      </c>
      <c r="I46" s="3">
        <f>((8001071+0+0)-(166191+7424928))</f>
        <v>409952</v>
      </c>
    </row>
    <row r="47" spans="1:9" ht="14" x14ac:dyDescent="0.3">
      <c r="A47" s="2" t="s">
        <v>15</v>
      </c>
      <c r="B47" s="3">
        <f>906518</f>
        <v>906518</v>
      </c>
      <c r="C47" s="3">
        <f>0</f>
        <v>0</v>
      </c>
      <c r="D47" s="3">
        <f>0</f>
        <v>0</v>
      </c>
      <c r="E47" s="3">
        <f>(906518+0+0)</f>
        <v>906518</v>
      </c>
      <c r="F47" s="3">
        <f>81181</f>
        <v>81181</v>
      </c>
      <c r="G47" s="3">
        <f>696616</f>
        <v>696616</v>
      </c>
      <c r="H47" s="3">
        <f>(81181+696616)</f>
        <v>777797</v>
      </c>
      <c r="I47" s="3">
        <f>((906518+0+0)-(81181+696616))</f>
        <v>128721</v>
      </c>
    </row>
    <row r="48" spans="1:9" ht="14" x14ac:dyDescent="0.3">
      <c r="A48" s="2" t="s">
        <v>16</v>
      </c>
      <c r="B48" s="3">
        <f>80939</f>
        <v>80939</v>
      </c>
      <c r="C48" s="3">
        <f>70774</f>
        <v>70774</v>
      </c>
      <c r="D48" s="3">
        <f>0</f>
        <v>0</v>
      </c>
      <c r="E48" s="3">
        <f>(80939+70774+0)</f>
        <v>151713</v>
      </c>
      <c r="F48" s="3">
        <f>0</f>
        <v>0</v>
      </c>
      <c r="G48" s="3">
        <f>0</f>
        <v>0</v>
      </c>
      <c r="H48" s="3">
        <f>(0+0)</f>
        <v>0</v>
      </c>
      <c r="I48" s="3">
        <f>((80939+70774+0)-(0+0))</f>
        <v>151713</v>
      </c>
    </row>
    <row r="49" spans="1:9" ht="14" x14ac:dyDescent="0.3">
      <c r="A49" s="2" t="s">
        <v>17</v>
      </c>
      <c r="B49" s="3">
        <f>50634</f>
        <v>50634</v>
      </c>
      <c r="C49" s="3">
        <f>25337</f>
        <v>25337</v>
      </c>
      <c r="D49" s="3">
        <f>0</f>
        <v>0</v>
      </c>
      <c r="E49" s="3">
        <f>(50634+25337+0)</f>
        <v>75971</v>
      </c>
      <c r="F49" s="3">
        <f>0</f>
        <v>0</v>
      </c>
      <c r="G49" s="3">
        <f>53435</f>
        <v>53435</v>
      </c>
      <c r="H49" s="3">
        <f>(0+53435)</f>
        <v>53435</v>
      </c>
      <c r="I49" s="3">
        <f>((50634+25337+0)-(0+53435))</f>
        <v>22536</v>
      </c>
    </row>
    <row r="50" spans="1:9" ht="14" x14ac:dyDescent="0.3">
      <c r="A50" s="2" t="s">
        <v>18</v>
      </c>
      <c r="B50" s="3">
        <f>1894641</f>
        <v>1894641</v>
      </c>
      <c r="C50" s="3">
        <f>0</f>
        <v>0</v>
      </c>
      <c r="D50" s="3">
        <f>0</f>
        <v>0</v>
      </c>
      <c r="E50" s="3">
        <f>(1894641+0+0)</f>
        <v>1894641</v>
      </c>
      <c r="F50" s="3">
        <f>23340</f>
        <v>23340</v>
      </c>
      <c r="G50" s="3">
        <f>1772027</f>
        <v>1772027</v>
      </c>
      <c r="H50" s="3">
        <f>(23340+1772027)</f>
        <v>1795367</v>
      </c>
      <c r="I50" s="3">
        <f>((1894641+0+0)-(23340+1772027))</f>
        <v>99274</v>
      </c>
    </row>
    <row r="51" spans="1:9" ht="14" x14ac:dyDescent="0.3">
      <c r="A51" s="2" t="s">
        <v>19</v>
      </c>
      <c r="B51" s="3">
        <f>2051420</f>
        <v>2051420</v>
      </c>
      <c r="C51" s="3">
        <f>50506</f>
        <v>50506</v>
      </c>
      <c r="D51" s="3">
        <f>0</f>
        <v>0</v>
      </c>
      <c r="E51" s="3">
        <f>(2051420+50506+0)</f>
        <v>2101926</v>
      </c>
      <c r="F51" s="3">
        <f>1781</f>
        <v>1781</v>
      </c>
      <c r="G51" s="3">
        <f>2026574</f>
        <v>2026574</v>
      </c>
      <c r="H51" s="3">
        <f>(1781+2026574)</f>
        <v>2028355</v>
      </c>
      <c r="I51" s="3">
        <f>((2051420+50506+0)-(1781+2026574))</f>
        <v>73571</v>
      </c>
    </row>
    <row r="52" spans="1:9" ht="14" x14ac:dyDescent="0.3">
      <c r="A52" s="2" t="s">
        <v>20</v>
      </c>
      <c r="B52" s="3">
        <f>0</f>
        <v>0</v>
      </c>
      <c r="C52" s="3">
        <f>0</f>
        <v>0</v>
      </c>
      <c r="D52" s="3">
        <f>0</f>
        <v>0</v>
      </c>
      <c r="E52" s="3">
        <f>(0+0+0)</f>
        <v>0</v>
      </c>
      <c r="F52" s="3">
        <f>0</f>
        <v>0</v>
      </c>
      <c r="G52" s="3">
        <f>0</f>
        <v>0</v>
      </c>
      <c r="H52" s="3">
        <f>(0+0)</f>
        <v>0</v>
      </c>
      <c r="I52" s="3">
        <f>((0+0+0)-(0+0))</f>
        <v>0</v>
      </c>
    </row>
    <row r="53" spans="1:9" ht="14" x14ac:dyDescent="0.3">
      <c r="A53" s="2" t="s">
        <v>21</v>
      </c>
      <c r="B53" s="3">
        <f>22511707</f>
        <v>22511707</v>
      </c>
      <c r="C53" s="3">
        <f>0</f>
        <v>0</v>
      </c>
      <c r="D53" s="3">
        <f>0</f>
        <v>0</v>
      </c>
      <c r="E53" s="3">
        <f>(22511707+0+0)</f>
        <v>22511707</v>
      </c>
      <c r="F53" s="3">
        <f>0</f>
        <v>0</v>
      </c>
      <c r="G53" s="3">
        <f>21729710</f>
        <v>21729710</v>
      </c>
      <c r="H53" s="3">
        <f>(0+21729710)</f>
        <v>21729710</v>
      </c>
      <c r="I53" s="3">
        <f>((22511707+0+0)-(0+21729710))</f>
        <v>781997</v>
      </c>
    </row>
    <row r="54" spans="1:9" ht="14" x14ac:dyDescent="0.3">
      <c r="A54" s="2" t="s">
        <v>22</v>
      </c>
      <c r="B54" s="3">
        <f>2261965</f>
        <v>2261965</v>
      </c>
      <c r="C54" s="3">
        <f>241701</f>
        <v>241701</v>
      </c>
      <c r="D54" s="3">
        <f>0</f>
        <v>0</v>
      </c>
      <c r="E54" s="3">
        <f>(2261965+241701+0)</f>
        <v>2503666</v>
      </c>
      <c r="F54" s="3">
        <f>0</f>
        <v>0</v>
      </c>
      <c r="G54" s="3">
        <f>2360691</f>
        <v>2360691</v>
      </c>
      <c r="H54" s="3">
        <f>(0+2360691)</f>
        <v>2360691</v>
      </c>
      <c r="I54" s="3">
        <f>((2261965+241701+0)-(0+2360691))</f>
        <v>142975</v>
      </c>
    </row>
    <row r="55" spans="1:9" ht="14" x14ac:dyDescent="0.3">
      <c r="A55" s="2" t="s">
        <v>23</v>
      </c>
      <c r="B55" s="3">
        <f>2067554</f>
        <v>2067554</v>
      </c>
      <c r="C55" s="3">
        <f>0</f>
        <v>0</v>
      </c>
      <c r="D55" s="3">
        <f>0</f>
        <v>0</v>
      </c>
      <c r="E55" s="3">
        <f>(2067554+0+0)</f>
        <v>2067554</v>
      </c>
      <c r="F55" s="3">
        <f>0</f>
        <v>0</v>
      </c>
      <c r="G55" s="3">
        <f>1967066</f>
        <v>1967066</v>
      </c>
      <c r="H55" s="3">
        <f>(0+1967066)</f>
        <v>1967066</v>
      </c>
      <c r="I55" s="3">
        <f>((2067554+0+0)-(0+1967066))</f>
        <v>100488</v>
      </c>
    </row>
    <row r="56" spans="1:9" ht="14" x14ac:dyDescent="0.3">
      <c r="A56" s="2" t="s">
        <v>24</v>
      </c>
      <c r="B56" s="3">
        <f>8957641</f>
        <v>8957641</v>
      </c>
      <c r="C56" s="3">
        <f>0</f>
        <v>0</v>
      </c>
      <c r="D56" s="3">
        <f>0</f>
        <v>0</v>
      </c>
      <c r="E56" s="3">
        <f>(8957641+0+0)</f>
        <v>8957641</v>
      </c>
      <c r="F56" s="3">
        <f>593630</f>
        <v>593630</v>
      </c>
      <c r="G56" s="3">
        <f>4914719</f>
        <v>4914719</v>
      </c>
      <c r="H56" s="3">
        <f>(593630+4914719)</f>
        <v>5508349</v>
      </c>
      <c r="I56" s="3">
        <f>((8957641+0+0)-(593630+4914719))</f>
        <v>3449292</v>
      </c>
    </row>
    <row r="57" spans="1:9" ht="14" x14ac:dyDescent="0.3">
      <c r="A57" s="2" t="s">
        <v>25</v>
      </c>
      <c r="B57" s="3">
        <f>2538445</f>
        <v>2538445</v>
      </c>
      <c r="C57" s="3">
        <f>272766</f>
        <v>272766</v>
      </c>
      <c r="D57" s="3">
        <f>0</f>
        <v>0</v>
      </c>
      <c r="E57" s="3">
        <f>(2538445+272766+0)</f>
        <v>2811211</v>
      </c>
      <c r="F57" s="3">
        <f>25207</f>
        <v>25207</v>
      </c>
      <c r="G57" s="3">
        <f>780521</f>
        <v>780521</v>
      </c>
      <c r="H57" s="3">
        <f>(25207+780521)</f>
        <v>805728</v>
      </c>
      <c r="I57" s="3">
        <f>((2538445+272766+0)-(25207+780521))</f>
        <v>2005483</v>
      </c>
    </row>
    <row r="58" spans="1:9" ht="14" x14ac:dyDescent="0.3">
      <c r="A58" s="5" t="s">
        <v>28</v>
      </c>
      <c r="B58" s="5"/>
      <c r="C58" s="5"/>
      <c r="D58" s="5"/>
      <c r="E58" s="5"/>
      <c r="F58" s="5"/>
      <c r="G58" s="5"/>
      <c r="H58" s="5"/>
      <c r="I58" s="5"/>
    </row>
    <row r="59" spans="1:9" ht="14" x14ac:dyDescent="0.3">
      <c r="A59" s="4" t="s">
        <v>1</v>
      </c>
      <c r="B59" s="1" t="s">
        <v>2</v>
      </c>
      <c r="C59" s="1" t="s">
        <v>3</v>
      </c>
      <c r="D59" s="1" t="s">
        <v>4</v>
      </c>
      <c r="E59" s="1" t="s">
        <v>5</v>
      </c>
      <c r="F59" s="1" t="s">
        <v>6</v>
      </c>
      <c r="G59" s="1" t="s">
        <v>7</v>
      </c>
      <c r="H59" s="1" t="s">
        <v>8</v>
      </c>
      <c r="I59" s="1" t="s">
        <v>9</v>
      </c>
    </row>
    <row r="60" spans="1:9" ht="14" x14ac:dyDescent="0.3">
      <c r="A60" s="4"/>
      <c r="B60" s="1">
        <v>2024</v>
      </c>
      <c r="C60" s="1">
        <v>2024</v>
      </c>
      <c r="D60" s="1">
        <v>2024</v>
      </c>
      <c r="E60" s="1">
        <v>2024</v>
      </c>
      <c r="F60" s="1">
        <v>2024</v>
      </c>
      <c r="G60" s="1">
        <v>2024</v>
      </c>
      <c r="H60" s="1">
        <v>2024</v>
      </c>
      <c r="I60" s="1">
        <v>2024</v>
      </c>
    </row>
    <row r="61" spans="1:9" ht="14" x14ac:dyDescent="0.3">
      <c r="A61" s="2" t="s">
        <v>10</v>
      </c>
      <c r="B61" s="3">
        <f>2402967</f>
        <v>2402967</v>
      </c>
      <c r="C61" s="3">
        <f>0</f>
        <v>0</v>
      </c>
      <c r="D61" s="3">
        <f>0</f>
        <v>0</v>
      </c>
      <c r="E61" s="3">
        <f>(2402967+0+0)</f>
        <v>2402967</v>
      </c>
      <c r="F61" s="3">
        <f>0</f>
        <v>0</v>
      </c>
      <c r="G61" s="3">
        <f>529646</f>
        <v>529646</v>
      </c>
      <c r="H61" s="3">
        <f>(0+529646)</f>
        <v>529646</v>
      </c>
      <c r="I61" s="3">
        <f>((2402967+0+0)-(0+529646))</f>
        <v>1873321</v>
      </c>
    </row>
    <row r="62" spans="1:9" ht="14" x14ac:dyDescent="0.3">
      <c r="A62" s="2" t="s">
        <v>11</v>
      </c>
      <c r="B62" s="3">
        <f>0</f>
        <v>0</v>
      </c>
      <c r="C62" s="3">
        <f>0</f>
        <v>0</v>
      </c>
      <c r="D62" s="3">
        <f>0</f>
        <v>0</v>
      </c>
      <c r="E62" s="3">
        <f>(0+0+0)</f>
        <v>0</v>
      </c>
      <c r="F62" s="3">
        <f>0</f>
        <v>0</v>
      </c>
      <c r="G62" s="3">
        <f>0</f>
        <v>0</v>
      </c>
      <c r="H62" s="3">
        <f>(0+0)</f>
        <v>0</v>
      </c>
      <c r="I62" s="3">
        <f>((0+0+0)-(0+0))</f>
        <v>0</v>
      </c>
    </row>
    <row r="63" spans="1:9" ht="14" x14ac:dyDescent="0.3">
      <c r="A63" s="2" t="s">
        <v>12</v>
      </c>
      <c r="B63" s="3">
        <f>7534951</f>
        <v>7534951</v>
      </c>
      <c r="C63" s="3">
        <f>0</f>
        <v>0</v>
      </c>
      <c r="D63" s="3">
        <f>0</f>
        <v>0</v>
      </c>
      <c r="E63" s="3">
        <f>(7534951+0+0)</f>
        <v>7534951</v>
      </c>
      <c r="F63" s="3">
        <f>0</f>
        <v>0</v>
      </c>
      <c r="G63" s="3">
        <f>1252469</f>
        <v>1252469</v>
      </c>
      <c r="H63" s="3">
        <f>(0+1252469)</f>
        <v>1252469</v>
      </c>
      <c r="I63" s="3">
        <f>((7534951+0+0)-(0+1252469))</f>
        <v>6282482</v>
      </c>
    </row>
    <row r="64" spans="1:9" ht="14" x14ac:dyDescent="0.3">
      <c r="A64" s="2" t="s">
        <v>13</v>
      </c>
      <c r="B64" s="3">
        <f>520941</f>
        <v>520941</v>
      </c>
      <c r="C64" s="3">
        <f>0</f>
        <v>0</v>
      </c>
      <c r="D64" s="3">
        <f>0</f>
        <v>0</v>
      </c>
      <c r="E64" s="3">
        <f>(520941+0+0)</f>
        <v>520941</v>
      </c>
      <c r="F64" s="3">
        <f>0</f>
        <v>0</v>
      </c>
      <c r="G64" s="3">
        <f>0</f>
        <v>0</v>
      </c>
      <c r="H64" s="3">
        <f>(0+0)</f>
        <v>0</v>
      </c>
      <c r="I64" s="3">
        <f>((520941+0+0)-(0+0))</f>
        <v>520941</v>
      </c>
    </row>
    <row r="65" spans="1:9" ht="14" x14ac:dyDescent="0.3">
      <c r="A65" s="2" t="s">
        <v>14</v>
      </c>
      <c r="B65" s="3">
        <f>4240400</f>
        <v>4240400</v>
      </c>
      <c r="C65" s="3">
        <f>0</f>
        <v>0</v>
      </c>
      <c r="D65" s="3">
        <f>0</f>
        <v>0</v>
      </c>
      <c r="E65" s="3">
        <f>(4240400+0+0)</f>
        <v>4240400</v>
      </c>
      <c r="F65" s="3">
        <f>0</f>
        <v>0</v>
      </c>
      <c r="G65" s="3">
        <f>486605</f>
        <v>486605</v>
      </c>
      <c r="H65" s="3">
        <f>(0+486605)</f>
        <v>486605</v>
      </c>
      <c r="I65" s="3">
        <f>((4240400+0+0)-(0+486605))</f>
        <v>3753795</v>
      </c>
    </row>
    <row r="66" spans="1:9" ht="14" x14ac:dyDescent="0.3">
      <c r="A66" s="2" t="s">
        <v>15</v>
      </c>
      <c r="B66" s="3">
        <f>1929170</f>
        <v>1929170</v>
      </c>
      <c r="C66" s="3">
        <f>0</f>
        <v>0</v>
      </c>
      <c r="D66" s="3">
        <f>0</f>
        <v>0</v>
      </c>
      <c r="E66" s="3">
        <f>(1929170+0+0)</f>
        <v>1929170</v>
      </c>
      <c r="F66" s="3">
        <f>1723</f>
        <v>1723</v>
      </c>
      <c r="G66" s="3">
        <f>14785</f>
        <v>14785</v>
      </c>
      <c r="H66" s="3">
        <f>(1723+14785)</f>
        <v>16508</v>
      </c>
      <c r="I66" s="3">
        <f>((1929170+0+0)-(1723+14785))</f>
        <v>1912662</v>
      </c>
    </row>
    <row r="67" spans="1:9" ht="14" x14ac:dyDescent="0.3">
      <c r="A67" s="2" t="s">
        <v>16</v>
      </c>
      <c r="B67" s="3">
        <f>408121</f>
        <v>408121</v>
      </c>
      <c r="C67" s="3">
        <f>0</f>
        <v>0</v>
      </c>
      <c r="D67" s="3">
        <f>0</f>
        <v>0</v>
      </c>
      <c r="E67" s="3">
        <f>(408121+0+0)</f>
        <v>408121</v>
      </c>
      <c r="F67" s="3">
        <f>37113</f>
        <v>37113</v>
      </c>
      <c r="G67" s="3">
        <f>0</f>
        <v>0</v>
      </c>
      <c r="H67" s="3">
        <f>(37113+0)</f>
        <v>37113</v>
      </c>
      <c r="I67" s="3">
        <f>((408121+0+0)-(37113+0))</f>
        <v>371008</v>
      </c>
    </row>
    <row r="68" spans="1:9" ht="14" x14ac:dyDescent="0.3">
      <c r="A68" s="2" t="s">
        <v>17</v>
      </c>
      <c r="B68" s="3">
        <f>152771</f>
        <v>152771</v>
      </c>
      <c r="C68" s="3">
        <f>0</f>
        <v>0</v>
      </c>
      <c r="D68" s="3">
        <f>0</f>
        <v>0</v>
      </c>
      <c r="E68" s="3">
        <f>(152771+0+0)</f>
        <v>152771</v>
      </c>
      <c r="F68" s="3">
        <f>0</f>
        <v>0</v>
      </c>
      <c r="G68" s="3">
        <f>7548</f>
        <v>7548</v>
      </c>
      <c r="H68" s="3">
        <f>(0+7548)</f>
        <v>7548</v>
      </c>
      <c r="I68" s="3">
        <f>((152771+0+0)-(0+7548))</f>
        <v>145223</v>
      </c>
    </row>
    <row r="69" spans="1:9" ht="14" x14ac:dyDescent="0.3">
      <c r="A69" s="2" t="s">
        <v>18</v>
      </c>
      <c r="B69" s="3">
        <f>1970469</f>
        <v>1970469</v>
      </c>
      <c r="C69" s="3">
        <f>0</f>
        <v>0</v>
      </c>
      <c r="D69" s="3">
        <f>0</f>
        <v>0</v>
      </c>
      <c r="E69" s="3">
        <f>(1970469+0+0)</f>
        <v>1970469</v>
      </c>
      <c r="F69" s="3">
        <f>0</f>
        <v>0</v>
      </c>
      <c r="G69" s="3">
        <f>1083381</f>
        <v>1083381</v>
      </c>
      <c r="H69" s="3">
        <f>(0+1083381)</f>
        <v>1083381</v>
      </c>
      <c r="I69" s="3">
        <f>((1970469+0+0)-(0+1083381))</f>
        <v>887088</v>
      </c>
    </row>
    <row r="70" spans="1:9" ht="14" x14ac:dyDescent="0.3">
      <c r="A70" s="2" t="s">
        <v>19</v>
      </c>
      <c r="B70" s="3">
        <f>111726</f>
        <v>111726</v>
      </c>
      <c r="C70" s="3">
        <f>0</f>
        <v>0</v>
      </c>
      <c r="D70" s="3">
        <f>0</f>
        <v>0</v>
      </c>
      <c r="E70" s="3">
        <f>(111726+0+0)</f>
        <v>111726</v>
      </c>
      <c r="F70" s="3">
        <f>0</f>
        <v>0</v>
      </c>
      <c r="G70" s="3">
        <f>23431</f>
        <v>23431</v>
      </c>
      <c r="H70" s="3">
        <f>(0+23431)</f>
        <v>23431</v>
      </c>
      <c r="I70" s="3">
        <f>((111726+0+0)-(0+23431))</f>
        <v>88295</v>
      </c>
    </row>
    <row r="71" spans="1:9" ht="14" x14ac:dyDescent="0.3">
      <c r="A71" s="2" t="s">
        <v>20</v>
      </c>
      <c r="B71" s="3">
        <f>100</f>
        <v>100</v>
      </c>
      <c r="C71" s="3">
        <f>0</f>
        <v>0</v>
      </c>
      <c r="D71" s="3">
        <f>0</f>
        <v>0</v>
      </c>
      <c r="E71" s="3">
        <f>(100+0+0)</f>
        <v>100</v>
      </c>
      <c r="F71" s="3">
        <f>0</f>
        <v>0</v>
      </c>
      <c r="G71" s="3">
        <f>0</f>
        <v>0</v>
      </c>
      <c r="H71" s="3">
        <f>(0+0)</f>
        <v>0</v>
      </c>
      <c r="I71" s="3">
        <f>((100+0+0)-(0+0))</f>
        <v>100</v>
      </c>
    </row>
    <row r="72" spans="1:9" ht="14" x14ac:dyDescent="0.3">
      <c r="A72" s="2" t="s">
        <v>21</v>
      </c>
      <c r="B72" s="3">
        <f>3682572</f>
        <v>3682572</v>
      </c>
      <c r="C72" s="3">
        <f>0</f>
        <v>0</v>
      </c>
      <c r="D72" s="3">
        <f>0</f>
        <v>0</v>
      </c>
      <c r="E72" s="3">
        <f>(3682572+0+0)</f>
        <v>3682572</v>
      </c>
      <c r="F72" s="3">
        <f>0</f>
        <v>0</v>
      </c>
      <c r="G72" s="3">
        <f>169673</f>
        <v>169673</v>
      </c>
      <c r="H72" s="3">
        <f>(0+169673)</f>
        <v>169673</v>
      </c>
      <c r="I72" s="3">
        <f>((3682572+0+0)-(0+169673))</f>
        <v>3512899</v>
      </c>
    </row>
    <row r="73" spans="1:9" ht="14" x14ac:dyDescent="0.3">
      <c r="A73" s="2" t="s">
        <v>22</v>
      </c>
      <c r="B73" s="3">
        <f>27593</f>
        <v>27593</v>
      </c>
      <c r="C73" s="3">
        <f>0</f>
        <v>0</v>
      </c>
      <c r="D73" s="3">
        <f>0</f>
        <v>0</v>
      </c>
      <c r="E73" s="3">
        <f>(27593+0+0)</f>
        <v>27593</v>
      </c>
      <c r="F73" s="3">
        <f>0</f>
        <v>0</v>
      </c>
      <c r="G73" s="3">
        <f>21119</f>
        <v>21119</v>
      </c>
      <c r="H73" s="3">
        <f>(0+21119)</f>
        <v>21119</v>
      </c>
      <c r="I73" s="3">
        <f>((27593+0+0)-(0+21119))</f>
        <v>6474</v>
      </c>
    </row>
    <row r="74" spans="1:9" ht="14" x14ac:dyDescent="0.3">
      <c r="A74" s="2" t="s">
        <v>23</v>
      </c>
      <c r="B74" s="3">
        <f>2149652</f>
        <v>2149652</v>
      </c>
      <c r="C74" s="3">
        <f>0</f>
        <v>0</v>
      </c>
      <c r="D74" s="3">
        <f>0</f>
        <v>0</v>
      </c>
      <c r="E74" s="3">
        <f>(2149652+0+0)</f>
        <v>2149652</v>
      </c>
      <c r="F74" s="3">
        <f>0</f>
        <v>0</v>
      </c>
      <c r="G74" s="3">
        <f>802267</f>
        <v>802267</v>
      </c>
      <c r="H74" s="3">
        <f>(0+802267)</f>
        <v>802267</v>
      </c>
      <c r="I74" s="3">
        <f>((2149652+0+0)-(0+802267))</f>
        <v>1347385</v>
      </c>
    </row>
    <row r="75" spans="1:9" ht="14" x14ac:dyDescent="0.3">
      <c r="A75" s="2" t="s">
        <v>24</v>
      </c>
      <c r="B75" s="3">
        <f>0</f>
        <v>0</v>
      </c>
      <c r="C75" s="3">
        <f>0</f>
        <v>0</v>
      </c>
      <c r="D75" s="3">
        <f>0</f>
        <v>0</v>
      </c>
      <c r="E75" s="3">
        <f>(0+0+0)</f>
        <v>0</v>
      </c>
      <c r="F75" s="3">
        <f>0</f>
        <v>0</v>
      </c>
      <c r="G75" s="3">
        <f>0</f>
        <v>0</v>
      </c>
      <c r="H75" s="3">
        <f>(0+0)</f>
        <v>0</v>
      </c>
      <c r="I75" s="3">
        <f>((0+0+0)-(0+0))</f>
        <v>0</v>
      </c>
    </row>
    <row r="76" spans="1:9" ht="14" x14ac:dyDescent="0.3">
      <c r="A76" s="2" t="s">
        <v>25</v>
      </c>
      <c r="B76" s="3">
        <f>2398080</f>
        <v>2398080</v>
      </c>
      <c r="C76" s="3">
        <f>0</f>
        <v>0</v>
      </c>
      <c r="D76" s="3">
        <f>0</f>
        <v>0</v>
      </c>
      <c r="E76" s="3">
        <f>(2398080+0+0)</f>
        <v>2398080</v>
      </c>
      <c r="F76" s="3">
        <f>(-250)</f>
        <v>-250</v>
      </c>
      <c r="G76" s="3">
        <f>0</f>
        <v>0</v>
      </c>
      <c r="H76" s="3">
        <f>((-250)+0)</f>
        <v>-250</v>
      </c>
      <c r="I76" s="3">
        <f>((2398080+0+0)-((-250)+0))</f>
        <v>2398330</v>
      </c>
    </row>
    <row r="77" spans="1:9" ht="14" x14ac:dyDescent="0.3">
      <c r="A77" s="5" t="s">
        <v>29</v>
      </c>
      <c r="B77" s="5"/>
      <c r="C77" s="5"/>
      <c r="D77" s="5"/>
      <c r="E77" s="5"/>
      <c r="F77" s="5"/>
      <c r="G77" s="5"/>
      <c r="H77" s="5"/>
      <c r="I77" s="5"/>
    </row>
    <row r="78" spans="1:9" ht="14" x14ac:dyDescent="0.3">
      <c r="A78" s="4" t="s">
        <v>1</v>
      </c>
      <c r="B78" s="1" t="s">
        <v>2</v>
      </c>
      <c r="C78" s="1" t="s">
        <v>3</v>
      </c>
      <c r="D78" s="1" t="s">
        <v>4</v>
      </c>
      <c r="E78" s="1" t="s">
        <v>5</v>
      </c>
      <c r="F78" s="1" t="s">
        <v>6</v>
      </c>
      <c r="G78" s="1" t="s">
        <v>7</v>
      </c>
      <c r="H78" s="1" t="s">
        <v>8</v>
      </c>
      <c r="I78" s="1" t="s">
        <v>9</v>
      </c>
    </row>
    <row r="79" spans="1:9" ht="14" x14ac:dyDescent="0.3">
      <c r="A79" s="4"/>
      <c r="B79" s="1">
        <v>2024</v>
      </c>
      <c r="C79" s="1">
        <v>2024</v>
      </c>
      <c r="D79" s="1">
        <v>2024</v>
      </c>
      <c r="E79" s="1">
        <v>2024</v>
      </c>
      <c r="F79" s="1">
        <v>2024</v>
      </c>
      <c r="G79" s="1">
        <v>2024</v>
      </c>
      <c r="H79" s="1">
        <v>2024</v>
      </c>
      <c r="I79" s="1">
        <v>2024</v>
      </c>
    </row>
    <row r="80" spans="1:9" ht="14" x14ac:dyDescent="0.3">
      <c r="A80" s="2" t="s">
        <v>10</v>
      </c>
      <c r="B80" s="3">
        <f>2843032</f>
        <v>2843032</v>
      </c>
      <c r="C80" s="3">
        <f>0</f>
        <v>0</v>
      </c>
      <c r="D80" s="3">
        <f>0</f>
        <v>0</v>
      </c>
      <c r="E80" s="3">
        <f>(2843032+0+0)</f>
        <v>2843032</v>
      </c>
      <c r="F80" s="3">
        <f>0</f>
        <v>0</v>
      </c>
      <c r="G80" s="3">
        <f>400356</f>
        <v>400356</v>
      </c>
      <c r="H80" s="3">
        <f>(0+400356)</f>
        <v>400356</v>
      </c>
      <c r="I80" s="3">
        <f>((2843032+0+0)-(0+400356))</f>
        <v>2442676</v>
      </c>
    </row>
    <row r="81" spans="1:9" ht="14" x14ac:dyDescent="0.3">
      <c r="A81" s="2" t="s">
        <v>11</v>
      </c>
      <c r="B81" s="3">
        <f>0</f>
        <v>0</v>
      </c>
      <c r="C81" s="3">
        <f>0</f>
        <v>0</v>
      </c>
      <c r="D81" s="3">
        <f>0</f>
        <v>0</v>
      </c>
      <c r="E81" s="3">
        <f>(0+0+0)</f>
        <v>0</v>
      </c>
      <c r="F81" s="3">
        <f>0</f>
        <v>0</v>
      </c>
      <c r="G81" s="3">
        <f>0</f>
        <v>0</v>
      </c>
      <c r="H81" s="3">
        <f>(0+0)</f>
        <v>0</v>
      </c>
      <c r="I81" s="3">
        <f>((0+0+0)-(0+0))</f>
        <v>0</v>
      </c>
    </row>
    <row r="82" spans="1:9" ht="14" x14ac:dyDescent="0.3">
      <c r="A82" s="2" t="s">
        <v>12</v>
      </c>
      <c r="B82" s="3">
        <f>8789149</f>
        <v>8789149</v>
      </c>
      <c r="C82" s="3">
        <f>0</f>
        <v>0</v>
      </c>
      <c r="D82" s="3">
        <f>0</f>
        <v>0</v>
      </c>
      <c r="E82" s="3">
        <f>(8789149+0+0)</f>
        <v>8789149</v>
      </c>
      <c r="F82" s="3">
        <f>0</f>
        <v>0</v>
      </c>
      <c r="G82" s="3">
        <f>1134631</f>
        <v>1134631</v>
      </c>
      <c r="H82" s="3">
        <f>(0+1134631)</f>
        <v>1134631</v>
      </c>
      <c r="I82" s="3">
        <f>((8789149+0+0)-(0+1134631))</f>
        <v>7654518</v>
      </c>
    </row>
    <row r="83" spans="1:9" ht="14" x14ac:dyDescent="0.3">
      <c r="A83" s="2" t="s">
        <v>13</v>
      </c>
      <c r="B83" s="3">
        <f>3657862</f>
        <v>3657862</v>
      </c>
      <c r="C83" s="3">
        <f>0</f>
        <v>0</v>
      </c>
      <c r="D83" s="3">
        <f>0</f>
        <v>0</v>
      </c>
      <c r="E83" s="3">
        <f>(3657862+0+0)</f>
        <v>3657862</v>
      </c>
      <c r="F83" s="3">
        <f>0</f>
        <v>0</v>
      </c>
      <c r="G83" s="3">
        <f>1473623</f>
        <v>1473623</v>
      </c>
      <c r="H83" s="3">
        <f>(0+1473623)</f>
        <v>1473623</v>
      </c>
      <c r="I83" s="3">
        <f>((3657862+0+0)-(0+1473623))</f>
        <v>2184239</v>
      </c>
    </row>
    <row r="84" spans="1:9" ht="14" x14ac:dyDescent="0.3">
      <c r="A84" s="2" t="s">
        <v>14</v>
      </c>
      <c r="B84" s="3">
        <f>5071206</f>
        <v>5071206</v>
      </c>
      <c r="C84" s="3">
        <f>0</f>
        <v>0</v>
      </c>
      <c r="D84" s="3">
        <f>0</f>
        <v>0</v>
      </c>
      <c r="E84" s="3">
        <f>(5071206+0+0)</f>
        <v>5071206</v>
      </c>
      <c r="F84" s="3">
        <f>0</f>
        <v>0</v>
      </c>
      <c r="G84" s="3">
        <f>581944</f>
        <v>581944</v>
      </c>
      <c r="H84" s="3">
        <f>(0+581944)</f>
        <v>581944</v>
      </c>
      <c r="I84" s="3">
        <f>((5071206+0+0)-(0+581944))</f>
        <v>4489262</v>
      </c>
    </row>
    <row r="85" spans="1:9" ht="14" x14ac:dyDescent="0.3">
      <c r="A85" s="2" t="s">
        <v>15</v>
      </c>
      <c r="B85" s="3">
        <f>3192573</f>
        <v>3192573</v>
      </c>
      <c r="C85" s="3">
        <f>0</f>
        <v>0</v>
      </c>
      <c r="D85" s="3">
        <f>0</f>
        <v>0</v>
      </c>
      <c r="E85" s="3">
        <f>(3192573+0+0)</f>
        <v>3192573</v>
      </c>
      <c r="F85" s="3">
        <f>6305</f>
        <v>6305</v>
      </c>
      <c r="G85" s="3">
        <f>54107</f>
        <v>54107</v>
      </c>
      <c r="H85" s="3">
        <f>(6305+54107)</f>
        <v>60412</v>
      </c>
      <c r="I85" s="3">
        <f>((3192573+0+0)-(6305+54107))</f>
        <v>3132161</v>
      </c>
    </row>
    <row r="86" spans="1:9" ht="14" x14ac:dyDescent="0.3">
      <c r="A86" s="2" t="s">
        <v>16</v>
      </c>
      <c r="B86" s="3">
        <f>452262</f>
        <v>452262</v>
      </c>
      <c r="C86" s="3">
        <f>0</f>
        <v>0</v>
      </c>
      <c r="D86" s="3">
        <f>0</f>
        <v>0</v>
      </c>
      <c r="E86" s="3">
        <f>(452262+0+0)</f>
        <v>452262</v>
      </c>
      <c r="F86" s="3">
        <f>34325</f>
        <v>34325</v>
      </c>
      <c r="G86" s="3">
        <f>0</f>
        <v>0</v>
      </c>
      <c r="H86" s="3">
        <f>(34325+0)</f>
        <v>34325</v>
      </c>
      <c r="I86" s="3">
        <f>((452262+0+0)-(34325+0))</f>
        <v>417937</v>
      </c>
    </row>
    <row r="87" spans="1:9" ht="14" x14ac:dyDescent="0.3">
      <c r="A87" s="2" t="s">
        <v>17</v>
      </c>
      <c r="B87" s="3">
        <f>74872</f>
        <v>74872</v>
      </c>
      <c r="C87" s="3">
        <f>0</f>
        <v>0</v>
      </c>
      <c r="D87" s="3">
        <f>0</f>
        <v>0</v>
      </c>
      <c r="E87" s="3">
        <f>(74872+0+0)</f>
        <v>74872</v>
      </c>
      <c r="F87" s="3">
        <f>0</f>
        <v>0</v>
      </c>
      <c r="G87" s="3">
        <f>4971</f>
        <v>4971</v>
      </c>
      <c r="H87" s="3">
        <f>(0+4971)</f>
        <v>4971</v>
      </c>
      <c r="I87" s="3">
        <f>((74872+0+0)-(0+4971))</f>
        <v>69901</v>
      </c>
    </row>
    <row r="88" spans="1:9" ht="14" x14ac:dyDescent="0.3">
      <c r="A88" s="2" t="s">
        <v>18</v>
      </c>
      <c r="B88" s="3">
        <f>2075086</f>
        <v>2075086</v>
      </c>
      <c r="C88" s="3">
        <f>0</f>
        <v>0</v>
      </c>
      <c r="D88" s="3">
        <f>0</f>
        <v>0</v>
      </c>
      <c r="E88" s="3">
        <f>(2075086+0+0)</f>
        <v>2075086</v>
      </c>
      <c r="F88" s="3">
        <f>0</f>
        <v>0</v>
      </c>
      <c r="G88" s="3">
        <f>886403</f>
        <v>886403</v>
      </c>
      <c r="H88" s="3">
        <f>(0+886403)</f>
        <v>886403</v>
      </c>
      <c r="I88" s="3">
        <f>((2075086+0+0)-(0+886403))</f>
        <v>1188683</v>
      </c>
    </row>
    <row r="89" spans="1:9" ht="14" x14ac:dyDescent="0.3">
      <c r="A89" s="2" t="s">
        <v>19</v>
      </c>
      <c r="B89" s="3">
        <f>500</f>
        <v>500</v>
      </c>
      <c r="C89" s="3">
        <f>0</f>
        <v>0</v>
      </c>
      <c r="D89" s="3">
        <f>0</f>
        <v>0</v>
      </c>
      <c r="E89" s="3">
        <f>(500+0+0)</f>
        <v>500</v>
      </c>
      <c r="F89" s="3">
        <f>0</f>
        <v>0</v>
      </c>
      <c r="G89" s="3">
        <f>0</f>
        <v>0</v>
      </c>
      <c r="H89" s="3">
        <f>(0+0)</f>
        <v>0</v>
      </c>
      <c r="I89" s="3">
        <f>((500+0+0)-(0+0))</f>
        <v>500</v>
      </c>
    </row>
    <row r="90" spans="1:9" ht="14" x14ac:dyDescent="0.3">
      <c r="A90" s="2" t="s">
        <v>20</v>
      </c>
      <c r="B90" s="3">
        <f>0</f>
        <v>0</v>
      </c>
      <c r="C90" s="3">
        <f>0</f>
        <v>0</v>
      </c>
      <c r="D90" s="3">
        <f>0</f>
        <v>0</v>
      </c>
      <c r="E90" s="3">
        <f>(0+0+0)</f>
        <v>0</v>
      </c>
      <c r="F90" s="3">
        <f>0</f>
        <v>0</v>
      </c>
      <c r="G90" s="3">
        <f>0</f>
        <v>0</v>
      </c>
      <c r="H90" s="3">
        <f>(0+0)</f>
        <v>0</v>
      </c>
      <c r="I90" s="3">
        <f>((0+0+0)-(0+0))</f>
        <v>0</v>
      </c>
    </row>
    <row r="91" spans="1:9" ht="14" x14ac:dyDescent="0.3">
      <c r="A91" s="2" t="s">
        <v>21</v>
      </c>
      <c r="B91" s="3">
        <f>9526705</f>
        <v>9526705</v>
      </c>
      <c r="C91" s="3">
        <f>0</f>
        <v>0</v>
      </c>
      <c r="D91" s="3">
        <f>0</f>
        <v>0</v>
      </c>
      <c r="E91" s="3">
        <f>(9526705+0+0)</f>
        <v>9526705</v>
      </c>
      <c r="F91" s="3">
        <f>0</f>
        <v>0</v>
      </c>
      <c r="G91" s="3">
        <f>422253</f>
        <v>422253</v>
      </c>
      <c r="H91" s="3">
        <f>(0+422253)</f>
        <v>422253</v>
      </c>
      <c r="I91" s="3">
        <f>((9526705+0+0)-(0+422253))</f>
        <v>9104452</v>
      </c>
    </row>
    <row r="92" spans="1:9" ht="14" x14ac:dyDescent="0.3">
      <c r="A92" s="2" t="s">
        <v>22</v>
      </c>
      <c r="B92" s="3">
        <f>0</f>
        <v>0</v>
      </c>
      <c r="C92" s="3">
        <f>0</f>
        <v>0</v>
      </c>
      <c r="D92" s="3">
        <f>0</f>
        <v>0</v>
      </c>
      <c r="E92" s="3">
        <f>(0+0+0)</f>
        <v>0</v>
      </c>
      <c r="F92" s="3">
        <f>0</f>
        <v>0</v>
      </c>
      <c r="G92" s="3">
        <f>0</f>
        <v>0</v>
      </c>
      <c r="H92" s="3">
        <f>(0+0)</f>
        <v>0</v>
      </c>
      <c r="I92" s="3">
        <f>((0+0+0)-(0+0))</f>
        <v>0</v>
      </c>
    </row>
    <row r="93" spans="1:9" ht="14" x14ac:dyDescent="0.3">
      <c r="A93" s="2" t="s">
        <v>23</v>
      </c>
      <c r="B93" s="3">
        <f>2805779</f>
        <v>2805779</v>
      </c>
      <c r="C93" s="3">
        <f>0</f>
        <v>0</v>
      </c>
      <c r="D93" s="3">
        <f>0</f>
        <v>0</v>
      </c>
      <c r="E93" s="3">
        <f>(2805779+0+0)</f>
        <v>2805779</v>
      </c>
      <c r="F93" s="3">
        <f>0</f>
        <v>0</v>
      </c>
      <c r="G93" s="3">
        <f>1057225</f>
        <v>1057225</v>
      </c>
      <c r="H93" s="3">
        <f>(0+1057225)</f>
        <v>1057225</v>
      </c>
      <c r="I93" s="3">
        <f>((2805779+0+0)-(0+1057225))</f>
        <v>1748554</v>
      </c>
    </row>
    <row r="94" spans="1:9" ht="14" x14ac:dyDescent="0.3">
      <c r="A94" s="2" t="s">
        <v>24</v>
      </c>
      <c r="B94" s="3">
        <f>0</f>
        <v>0</v>
      </c>
      <c r="C94" s="3">
        <f>0</f>
        <v>0</v>
      </c>
      <c r="D94" s="3">
        <f>0</f>
        <v>0</v>
      </c>
      <c r="E94" s="3">
        <f>(0+0+0)</f>
        <v>0</v>
      </c>
      <c r="F94" s="3">
        <f>0</f>
        <v>0</v>
      </c>
      <c r="G94" s="3">
        <f>0</f>
        <v>0</v>
      </c>
      <c r="H94" s="3">
        <f>(0+0)</f>
        <v>0</v>
      </c>
      <c r="I94" s="3">
        <f>((0+0+0)-(0+0))</f>
        <v>0</v>
      </c>
    </row>
    <row r="95" spans="1:9" ht="14" x14ac:dyDescent="0.3">
      <c r="A95" s="2" t="s">
        <v>25</v>
      </c>
      <c r="B95" s="3">
        <f>1598872</f>
        <v>1598872</v>
      </c>
      <c r="C95" s="3">
        <f>0</f>
        <v>0</v>
      </c>
      <c r="D95" s="3">
        <f>0</f>
        <v>0</v>
      </c>
      <c r="E95" s="3">
        <f>(1598872+0+0)</f>
        <v>1598872</v>
      </c>
      <c r="F95" s="3">
        <f>0</f>
        <v>0</v>
      </c>
      <c r="G95" s="3">
        <f>0</f>
        <v>0</v>
      </c>
      <c r="H95" s="3">
        <f>(0+0)</f>
        <v>0</v>
      </c>
      <c r="I95" s="3">
        <f>((1598872+0+0)-(0+0))</f>
        <v>1598872</v>
      </c>
    </row>
    <row r="96" spans="1:9" ht="14" x14ac:dyDescent="0.3">
      <c r="A96" s="5" t="s">
        <v>30</v>
      </c>
      <c r="B96" s="5"/>
      <c r="C96" s="5"/>
      <c r="D96" s="5"/>
      <c r="E96" s="5"/>
      <c r="F96" s="5"/>
      <c r="G96" s="5"/>
      <c r="H96" s="5"/>
      <c r="I96" s="5"/>
    </row>
    <row r="97" spans="1:9" ht="14" x14ac:dyDescent="0.3">
      <c r="A97" s="4" t="s">
        <v>1</v>
      </c>
      <c r="B97" s="1" t="s">
        <v>2</v>
      </c>
      <c r="C97" s="1" t="s">
        <v>3</v>
      </c>
      <c r="D97" s="1" t="s">
        <v>4</v>
      </c>
      <c r="E97" s="1" t="s">
        <v>5</v>
      </c>
      <c r="F97" s="1" t="s">
        <v>6</v>
      </c>
      <c r="G97" s="1" t="s">
        <v>7</v>
      </c>
      <c r="H97" s="1" t="s">
        <v>8</v>
      </c>
      <c r="I97" s="1" t="s">
        <v>9</v>
      </c>
    </row>
    <row r="98" spans="1:9" ht="14" x14ac:dyDescent="0.3">
      <c r="A98" s="4"/>
      <c r="B98" s="1">
        <v>2024</v>
      </c>
      <c r="C98" s="1">
        <v>2024</v>
      </c>
      <c r="D98" s="1">
        <v>2024</v>
      </c>
      <c r="E98" s="1">
        <v>2024</v>
      </c>
      <c r="F98" s="1">
        <v>2024</v>
      </c>
      <c r="G98" s="1">
        <v>2024</v>
      </c>
      <c r="H98" s="1">
        <v>2024</v>
      </c>
      <c r="I98" s="1">
        <v>2024</v>
      </c>
    </row>
    <row r="99" spans="1:9" ht="14" x14ac:dyDescent="0.3">
      <c r="A99" s="2" t="s">
        <v>10</v>
      </c>
      <c r="B99" s="3">
        <f>398015</f>
        <v>398015</v>
      </c>
      <c r="C99" s="3">
        <f>0</f>
        <v>0</v>
      </c>
      <c r="D99" s="3">
        <f>0</f>
        <v>0</v>
      </c>
      <c r="E99" s="3">
        <f>(398015+0+0)</f>
        <v>398015</v>
      </c>
      <c r="F99" s="3">
        <f>0</f>
        <v>0</v>
      </c>
      <c r="G99" s="3">
        <f>189087</f>
        <v>189087</v>
      </c>
      <c r="H99" s="3">
        <f>(0+189087)</f>
        <v>189087</v>
      </c>
      <c r="I99" s="3">
        <f>((398015+0+0)-(0+189087))</f>
        <v>208928</v>
      </c>
    </row>
    <row r="100" spans="1:9" ht="14" x14ac:dyDescent="0.3">
      <c r="A100" s="2" t="s">
        <v>11</v>
      </c>
      <c r="B100" s="3">
        <f>0</f>
        <v>0</v>
      </c>
      <c r="C100" s="3">
        <f>0</f>
        <v>0</v>
      </c>
      <c r="D100" s="3">
        <f>0</f>
        <v>0</v>
      </c>
      <c r="E100" s="3">
        <f>(0+0+0)</f>
        <v>0</v>
      </c>
      <c r="F100" s="3">
        <f>0</f>
        <v>0</v>
      </c>
      <c r="G100" s="3">
        <f>0</f>
        <v>0</v>
      </c>
      <c r="H100" s="3">
        <f>(0+0)</f>
        <v>0</v>
      </c>
      <c r="I100" s="3">
        <f>((0+0+0)-(0+0))</f>
        <v>0</v>
      </c>
    </row>
    <row r="101" spans="1:9" ht="14" x14ac:dyDescent="0.3">
      <c r="A101" s="2" t="s">
        <v>12</v>
      </c>
      <c r="B101" s="3">
        <f>1444607</f>
        <v>1444607</v>
      </c>
      <c r="C101" s="3">
        <f>0</f>
        <v>0</v>
      </c>
      <c r="D101" s="3">
        <f>0</f>
        <v>0</v>
      </c>
      <c r="E101" s="3">
        <f>(1444607+0+0)</f>
        <v>1444607</v>
      </c>
      <c r="F101" s="3">
        <f>0</f>
        <v>0</v>
      </c>
      <c r="G101" s="3">
        <f>1353327</f>
        <v>1353327</v>
      </c>
      <c r="H101" s="3">
        <f>(0+1353327)</f>
        <v>1353327</v>
      </c>
      <c r="I101" s="3">
        <f>((1444607+0+0)-(0+1353327))</f>
        <v>91280</v>
      </c>
    </row>
    <row r="102" spans="1:9" ht="14" x14ac:dyDescent="0.3">
      <c r="A102" s="2" t="s">
        <v>13</v>
      </c>
      <c r="B102" s="3">
        <f>316099</f>
        <v>316099</v>
      </c>
      <c r="C102" s="3">
        <f>0</f>
        <v>0</v>
      </c>
      <c r="D102" s="3">
        <f>0</f>
        <v>0</v>
      </c>
      <c r="E102" s="3">
        <f>(316099+0+0)</f>
        <v>316099</v>
      </c>
      <c r="F102" s="3">
        <f>0</f>
        <v>0</v>
      </c>
      <c r="G102" s="3">
        <f>1000</f>
        <v>1000</v>
      </c>
      <c r="H102" s="3">
        <f>(0+1000)</f>
        <v>1000</v>
      </c>
      <c r="I102" s="3">
        <f>((316099+0+0)-(0+1000))</f>
        <v>315099</v>
      </c>
    </row>
    <row r="103" spans="1:9" ht="14" x14ac:dyDescent="0.3">
      <c r="A103" s="2" t="s">
        <v>14</v>
      </c>
      <c r="B103" s="3">
        <f>1391212</f>
        <v>1391212</v>
      </c>
      <c r="C103" s="3">
        <f>0</f>
        <v>0</v>
      </c>
      <c r="D103" s="3">
        <f>0</f>
        <v>0</v>
      </c>
      <c r="E103" s="3">
        <f>(1391212+0+0)</f>
        <v>1391212</v>
      </c>
      <c r="F103" s="3">
        <f>0</f>
        <v>0</v>
      </c>
      <c r="G103" s="3">
        <f>1296340</f>
        <v>1296340</v>
      </c>
      <c r="H103" s="3">
        <f>(0+1296340)</f>
        <v>1296340</v>
      </c>
      <c r="I103" s="3">
        <f>((1391212+0+0)-(0+1296340))</f>
        <v>94872</v>
      </c>
    </row>
    <row r="104" spans="1:9" ht="14" x14ac:dyDescent="0.3">
      <c r="A104" s="2" t="s">
        <v>15</v>
      </c>
      <c r="B104" s="3">
        <f>259836</f>
        <v>259836</v>
      </c>
      <c r="C104" s="3">
        <f>0</f>
        <v>0</v>
      </c>
      <c r="D104" s="3">
        <f>0</f>
        <v>0</v>
      </c>
      <c r="E104" s="3">
        <f>(259836+0+0)</f>
        <v>259836</v>
      </c>
      <c r="F104" s="3">
        <f>9437</f>
        <v>9437</v>
      </c>
      <c r="G104" s="3">
        <f>81155</f>
        <v>81155</v>
      </c>
      <c r="H104" s="3">
        <f>(9437+81155)</f>
        <v>90592</v>
      </c>
      <c r="I104" s="3">
        <f>((259836+0+0)-(9437+81155))</f>
        <v>169244</v>
      </c>
    </row>
    <row r="105" spans="1:9" ht="14" x14ac:dyDescent="0.3">
      <c r="A105" s="2" t="s">
        <v>16</v>
      </c>
      <c r="B105" s="3">
        <f>3000</f>
        <v>3000</v>
      </c>
      <c r="C105" s="3">
        <f>0</f>
        <v>0</v>
      </c>
      <c r="D105" s="3">
        <f>0</f>
        <v>0</v>
      </c>
      <c r="E105" s="3">
        <f>(3000+0+0)</f>
        <v>3000</v>
      </c>
      <c r="F105" s="3">
        <f>0</f>
        <v>0</v>
      </c>
      <c r="G105" s="3">
        <f>0</f>
        <v>0</v>
      </c>
      <c r="H105" s="3">
        <f>(0+0)</f>
        <v>0</v>
      </c>
      <c r="I105" s="3">
        <f>((3000+0+0)-(0+0))</f>
        <v>3000</v>
      </c>
    </row>
    <row r="106" spans="1:9" ht="14" x14ac:dyDescent="0.3">
      <c r="A106" s="2" t="s">
        <v>17</v>
      </c>
      <c r="B106" s="3">
        <f>15092</f>
        <v>15092</v>
      </c>
      <c r="C106" s="3">
        <f>0</f>
        <v>0</v>
      </c>
      <c r="D106" s="3">
        <f>0</f>
        <v>0</v>
      </c>
      <c r="E106" s="3">
        <f>(15092+0+0)</f>
        <v>15092</v>
      </c>
      <c r="F106" s="3">
        <f>0</f>
        <v>0</v>
      </c>
      <c r="G106" s="3">
        <f>0</f>
        <v>0</v>
      </c>
      <c r="H106" s="3">
        <f>(0+0)</f>
        <v>0</v>
      </c>
      <c r="I106" s="3">
        <f>((15092+0+0)-(0+0))</f>
        <v>15092</v>
      </c>
    </row>
    <row r="107" spans="1:9" ht="14" x14ac:dyDescent="0.3">
      <c r="A107" s="2" t="s">
        <v>18</v>
      </c>
      <c r="B107" s="3">
        <f>1921780</f>
        <v>1921780</v>
      </c>
      <c r="C107" s="3">
        <f>0</f>
        <v>0</v>
      </c>
      <c r="D107" s="3">
        <f>0</f>
        <v>0</v>
      </c>
      <c r="E107" s="3">
        <f>(1921780+0+0)</f>
        <v>1921780</v>
      </c>
      <c r="F107" s="3">
        <f>0</f>
        <v>0</v>
      </c>
      <c r="G107" s="3">
        <f>1887187</f>
        <v>1887187</v>
      </c>
      <c r="H107" s="3">
        <f>(0+1887187)</f>
        <v>1887187</v>
      </c>
      <c r="I107" s="3">
        <f>((1921780+0+0)-(0+1887187))</f>
        <v>34593</v>
      </c>
    </row>
    <row r="108" spans="1:9" ht="14" x14ac:dyDescent="0.3">
      <c r="A108" s="2" t="s">
        <v>19</v>
      </c>
      <c r="B108" s="3">
        <f>92880</f>
        <v>92880</v>
      </c>
      <c r="C108" s="3">
        <f>0</f>
        <v>0</v>
      </c>
      <c r="D108" s="3">
        <f>0</f>
        <v>0</v>
      </c>
      <c r="E108" s="3">
        <f>(92880+0+0)</f>
        <v>92880</v>
      </c>
      <c r="F108" s="3">
        <f>0</f>
        <v>0</v>
      </c>
      <c r="G108" s="3">
        <f>82675</f>
        <v>82675</v>
      </c>
      <c r="H108" s="3">
        <f>(0+82675)</f>
        <v>82675</v>
      </c>
      <c r="I108" s="3">
        <f>((92880+0+0)-(0+82675))</f>
        <v>10205</v>
      </c>
    </row>
    <row r="109" spans="1:9" ht="14" x14ac:dyDescent="0.3">
      <c r="A109" s="2" t="s">
        <v>20</v>
      </c>
      <c r="B109" s="3">
        <f>0</f>
        <v>0</v>
      </c>
      <c r="C109" s="3">
        <f>0</f>
        <v>0</v>
      </c>
      <c r="D109" s="3">
        <f>0</f>
        <v>0</v>
      </c>
      <c r="E109" s="3">
        <f>(0+0+0)</f>
        <v>0</v>
      </c>
      <c r="F109" s="3">
        <f>0</f>
        <v>0</v>
      </c>
      <c r="G109" s="3">
        <f>0</f>
        <v>0</v>
      </c>
      <c r="H109" s="3">
        <f>(0+0)</f>
        <v>0</v>
      </c>
      <c r="I109" s="3">
        <f>((0+0+0)-(0+0))</f>
        <v>0</v>
      </c>
    </row>
    <row r="110" spans="1:9" ht="14" x14ac:dyDescent="0.3">
      <c r="A110" s="2" t="s">
        <v>21</v>
      </c>
      <c r="B110" s="3">
        <f>1145741</f>
        <v>1145741</v>
      </c>
      <c r="C110" s="3">
        <f>0</f>
        <v>0</v>
      </c>
      <c r="D110" s="3">
        <f>0</f>
        <v>0</v>
      </c>
      <c r="E110" s="3">
        <f>(1145741+0+0)</f>
        <v>1145741</v>
      </c>
      <c r="F110" s="3">
        <f>0</f>
        <v>0</v>
      </c>
      <c r="G110" s="3">
        <f>706326</f>
        <v>706326</v>
      </c>
      <c r="H110" s="3">
        <f>(0+706326)</f>
        <v>706326</v>
      </c>
      <c r="I110" s="3">
        <f>((1145741+0+0)-(0+706326))</f>
        <v>439415</v>
      </c>
    </row>
    <row r="111" spans="1:9" ht="14" x14ac:dyDescent="0.3">
      <c r="A111" s="2" t="s">
        <v>22</v>
      </c>
      <c r="B111" s="3">
        <f>122973</f>
        <v>122973</v>
      </c>
      <c r="C111" s="3">
        <f>0</f>
        <v>0</v>
      </c>
      <c r="D111" s="3">
        <f>0</f>
        <v>0</v>
      </c>
      <c r="E111" s="3">
        <f>(122973+0+0)</f>
        <v>122973</v>
      </c>
      <c r="F111" s="3">
        <f>0</f>
        <v>0</v>
      </c>
      <c r="G111" s="3">
        <f>122669</f>
        <v>122669</v>
      </c>
      <c r="H111" s="3">
        <f>(0+122669)</f>
        <v>122669</v>
      </c>
      <c r="I111" s="3">
        <f>((122973+0+0)-(0+122669))</f>
        <v>304</v>
      </c>
    </row>
    <row r="112" spans="1:9" ht="14" x14ac:dyDescent="0.3">
      <c r="A112" s="2" t="s">
        <v>23</v>
      </c>
      <c r="B112" s="3">
        <f>176188</f>
        <v>176188</v>
      </c>
      <c r="C112" s="3">
        <f>0</f>
        <v>0</v>
      </c>
      <c r="D112" s="3">
        <f>0</f>
        <v>0</v>
      </c>
      <c r="E112" s="3">
        <f>(176188+0+0)</f>
        <v>176188</v>
      </c>
      <c r="F112" s="3">
        <f>0</f>
        <v>0</v>
      </c>
      <c r="G112" s="3">
        <f>129448</f>
        <v>129448</v>
      </c>
      <c r="H112" s="3">
        <f>(0+129448)</f>
        <v>129448</v>
      </c>
      <c r="I112" s="3">
        <f>((176188+0+0)-(0+129448))</f>
        <v>46740</v>
      </c>
    </row>
    <row r="113" spans="1:9" ht="14" x14ac:dyDescent="0.3">
      <c r="A113" s="2" t="s">
        <v>24</v>
      </c>
      <c r="B113" s="3">
        <f>123646</f>
        <v>123646</v>
      </c>
      <c r="C113" s="3">
        <f>0</f>
        <v>0</v>
      </c>
      <c r="D113" s="3">
        <f>0</f>
        <v>0</v>
      </c>
      <c r="E113" s="3">
        <f>(123646+0+0)</f>
        <v>123646</v>
      </c>
      <c r="F113" s="3">
        <f>0</f>
        <v>0</v>
      </c>
      <c r="G113" s="3">
        <f>14291</f>
        <v>14291</v>
      </c>
      <c r="H113" s="3">
        <f>(0+14291)</f>
        <v>14291</v>
      </c>
      <c r="I113" s="3">
        <f>((123646+0+0)-(0+14291))</f>
        <v>109355</v>
      </c>
    </row>
    <row r="114" spans="1:9" ht="14" x14ac:dyDescent="0.3">
      <c r="A114" s="2" t="s">
        <v>25</v>
      </c>
      <c r="B114" s="3">
        <f>83052</f>
        <v>83052</v>
      </c>
      <c r="C114" s="3">
        <f>0</f>
        <v>0</v>
      </c>
      <c r="D114" s="3">
        <f>0</f>
        <v>0</v>
      </c>
      <c r="E114" s="3">
        <f>(83052+0+0)</f>
        <v>83052</v>
      </c>
      <c r="F114" s="3">
        <f>0</f>
        <v>0</v>
      </c>
      <c r="G114" s="3">
        <f>29547</f>
        <v>29547</v>
      </c>
      <c r="H114" s="3">
        <f>(0+29547)</f>
        <v>29547</v>
      </c>
      <c r="I114" s="3">
        <f>((83052+0+0)-(0+29547))</f>
        <v>53505</v>
      </c>
    </row>
    <row r="115" spans="1:9" ht="14" x14ac:dyDescent="0.3">
      <c r="A115" s="5" t="s">
        <v>31</v>
      </c>
      <c r="B115" s="5"/>
      <c r="C115" s="5"/>
      <c r="D115" s="5"/>
      <c r="E115" s="5"/>
      <c r="F115" s="5"/>
      <c r="G115" s="5"/>
      <c r="H115" s="5"/>
      <c r="I115" s="5"/>
    </row>
    <row r="116" spans="1:9" ht="14" x14ac:dyDescent="0.3">
      <c r="A116" s="4" t="s">
        <v>1</v>
      </c>
      <c r="B116" s="1" t="s">
        <v>2</v>
      </c>
      <c r="C116" s="1" t="s">
        <v>3</v>
      </c>
      <c r="D116" s="1" t="s">
        <v>4</v>
      </c>
      <c r="E116" s="1" t="s">
        <v>5</v>
      </c>
      <c r="F116" s="1" t="s">
        <v>6</v>
      </c>
      <c r="G116" s="1" t="s">
        <v>7</v>
      </c>
      <c r="H116" s="1" t="s">
        <v>8</v>
      </c>
      <c r="I116" s="1" t="s">
        <v>9</v>
      </c>
    </row>
    <row r="117" spans="1:9" ht="14" x14ac:dyDescent="0.3">
      <c r="A117" s="4"/>
      <c r="B117" s="1">
        <v>2024</v>
      </c>
      <c r="C117" s="1">
        <v>2024</v>
      </c>
      <c r="D117" s="1">
        <v>2024</v>
      </c>
      <c r="E117" s="1">
        <v>2024</v>
      </c>
      <c r="F117" s="1">
        <v>2024</v>
      </c>
      <c r="G117" s="1">
        <v>2024</v>
      </c>
      <c r="H117" s="1">
        <v>2024</v>
      </c>
      <c r="I117" s="1">
        <v>2024</v>
      </c>
    </row>
    <row r="118" spans="1:9" ht="14" x14ac:dyDescent="0.3">
      <c r="A118" s="2" t="s">
        <v>10</v>
      </c>
      <c r="B118" s="3">
        <f>8321068</f>
        <v>8321068</v>
      </c>
      <c r="C118" s="3">
        <f>0</f>
        <v>0</v>
      </c>
      <c r="D118" s="3">
        <f>0</f>
        <v>0</v>
      </c>
      <c r="E118" s="3">
        <f>(8321068+0+0)</f>
        <v>8321068</v>
      </c>
      <c r="F118" s="3">
        <f>0</f>
        <v>0</v>
      </c>
      <c r="G118" s="3">
        <f>7868191</f>
        <v>7868191</v>
      </c>
      <c r="H118" s="3">
        <f>(0+7868191)</f>
        <v>7868191</v>
      </c>
      <c r="I118" s="3">
        <f>((8321068+0+0)-(0+7868191))</f>
        <v>452877</v>
      </c>
    </row>
    <row r="119" spans="1:9" ht="14" x14ac:dyDescent="0.3">
      <c r="A119" s="2" t="s">
        <v>11</v>
      </c>
      <c r="B119" s="3">
        <f>0</f>
        <v>0</v>
      </c>
      <c r="C119" s="3">
        <f>0</f>
        <v>0</v>
      </c>
      <c r="D119" s="3">
        <f>0</f>
        <v>0</v>
      </c>
      <c r="E119" s="3">
        <f>(0+0+0)</f>
        <v>0</v>
      </c>
      <c r="F119" s="3">
        <f>0</f>
        <v>0</v>
      </c>
      <c r="G119" s="3">
        <f>0</f>
        <v>0</v>
      </c>
      <c r="H119" s="3">
        <f>(0+0)</f>
        <v>0</v>
      </c>
      <c r="I119" s="3">
        <f>((0+0+0)-(0+0))</f>
        <v>0</v>
      </c>
    </row>
    <row r="120" spans="1:9" ht="14" x14ac:dyDescent="0.3">
      <c r="A120" s="2" t="s">
        <v>12</v>
      </c>
      <c r="B120" s="3">
        <f>4064496</f>
        <v>4064496</v>
      </c>
      <c r="C120" s="3">
        <f>0</f>
        <v>0</v>
      </c>
      <c r="D120" s="3">
        <f>0</f>
        <v>0</v>
      </c>
      <c r="E120" s="3">
        <f>(4064496+0+0)</f>
        <v>4064496</v>
      </c>
      <c r="F120" s="3">
        <f>2500</f>
        <v>2500</v>
      </c>
      <c r="G120" s="3">
        <f>4011432</f>
        <v>4011432</v>
      </c>
      <c r="H120" s="3">
        <f>(2500+4011432)</f>
        <v>4013932</v>
      </c>
      <c r="I120" s="3">
        <f>((4064496+0+0)-(2500+4011432))</f>
        <v>50564</v>
      </c>
    </row>
    <row r="121" spans="1:9" ht="14" x14ac:dyDescent="0.3">
      <c r="A121" s="2" t="s">
        <v>13</v>
      </c>
      <c r="B121" s="3">
        <f>962667</f>
        <v>962667</v>
      </c>
      <c r="C121" s="3">
        <f>42544</f>
        <v>42544</v>
      </c>
      <c r="D121" s="3">
        <f>0</f>
        <v>0</v>
      </c>
      <c r="E121" s="3">
        <f>(962667+42544+0)</f>
        <v>1005211</v>
      </c>
      <c r="F121" s="3">
        <f>1550</f>
        <v>1550</v>
      </c>
      <c r="G121" s="3">
        <f>203341</f>
        <v>203341</v>
      </c>
      <c r="H121" s="3">
        <f>(1550+203341)</f>
        <v>204891</v>
      </c>
      <c r="I121" s="3">
        <f>((962667+42544+0)-(1550+203341))</f>
        <v>800320</v>
      </c>
    </row>
    <row r="122" spans="1:9" ht="14" x14ac:dyDescent="0.3">
      <c r="A122" s="2" t="s">
        <v>14</v>
      </c>
      <c r="B122" s="3">
        <f>19824053</f>
        <v>19824053</v>
      </c>
      <c r="C122" s="3">
        <f>0</f>
        <v>0</v>
      </c>
      <c r="D122" s="3">
        <f>0</f>
        <v>0</v>
      </c>
      <c r="E122" s="3">
        <f>(19824053+0+0)</f>
        <v>19824053</v>
      </c>
      <c r="F122" s="3">
        <f>0</f>
        <v>0</v>
      </c>
      <c r="G122" s="3">
        <f>19471633</f>
        <v>19471633</v>
      </c>
      <c r="H122" s="3">
        <f>(0+19471633)</f>
        <v>19471633</v>
      </c>
      <c r="I122" s="3">
        <f>((19824053+0+0)-(0+19471633))</f>
        <v>352420</v>
      </c>
    </row>
    <row r="123" spans="1:9" ht="14" x14ac:dyDescent="0.3">
      <c r="A123" s="2" t="s">
        <v>15</v>
      </c>
      <c r="B123" s="3">
        <f>211278</f>
        <v>211278</v>
      </c>
      <c r="C123" s="3">
        <f>0</f>
        <v>0</v>
      </c>
      <c r="D123" s="3">
        <f>0</f>
        <v>0</v>
      </c>
      <c r="E123" s="3">
        <f>(211278+0+0)</f>
        <v>211278</v>
      </c>
      <c r="F123" s="3">
        <f>15728</f>
        <v>15728</v>
      </c>
      <c r="G123" s="3">
        <f>134964</f>
        <v>134964</v>
      </c>
      <c r="H123" s="3">
        <f>(15728+134964)</f>
        <v>150692</v>
      </c>
      <c r="I123" s="3">
        <f>((211278+0+0)-(15728+134964))</f>
        <v>60586</v>
      </c>
    </row>
    <row r="124" spans="1:9" ht="14" x14ac:dyDescent="0.3">
      <c r="A124" s="2" t="s">
        <v>16</v>
      </c>
      <c r="B124" s="3">
        <f>10835</f>
        <v>10835</v>
      </c>
      <c r="C124" s="3">
        <f>10200</f>
        <v>10200</v>
      </c>
      <c r="D124" s="3">
        <f>0</f>
        <v>0</v>
      </c>
      <c r="E124" s="3">
        <f>(10835+10200+0)</f>
        <v>21035</v>
      </c>
      <c r="F124" s="3">
        <f>0</f>
        <v>0</v>
      </c>
      <c r="G124" s="3">
        <f>0</f>
        <v>0</v>
      </c>
      <c r="H124" s="3">
        <f>(0+0)</f>
        <v>0</v>
      </c>
      <c r="I124" s="3">
        <f>((10835+10200+0)-(0+0))</f>
        <v>21035</v>
      </c>
    </row>
    <row r="125" spans="1:9" ht="14" x14ac:dyDescent="0.3">
      <c r="A125" s="2" t="s">
        <v>17</v>
      </c>
      <c r="B125" s="3">
        <f>4524</f>
        <v>4524</v>
      </c>
      <c r="C125" s="3">
        <f>0</f>
        <v>0</v>
      </c>
      <c r="D125" s="3">
        <f>0</f>
        <v>0</v>
      </c>
      <c r="E125" s="3">
        <f>(4524+0+0)</f>
        <v>4524</v>
      </c>
      <c r="F125" s="3">
        <f>0</f>
        <v>0</v>
      </c>
      <c r="G125" s="3">
        <f>3223</f>
        <v>3223</v>
      </c>
      <c r="H125" s="3">
        <f>(0+3223)</f>
        <v>3223</v>
      </c>
      <c r="I125" s="3">
        <f>((4524+0+0)-(0+3223))</f>
        <v>1301</v>
      </c>
    </row>
    <row r="126" spans="1:9" ht="14" x14ac:dyDescent="0.3">
      <c r="A126" s="2" t="s">
        <v>18</v>
      </c>
      <c r="B126" s="3">
        <f>4451049</f>
        <v>4451049</v>
      </c>
      <c r="C126" s="3">
        <f>0</f>
        <v>0</v>
      </c>
      <c r="D126" s="3">
        <f>0</f>
        <v>0</v>
      </c>
      <c r="E126" s="3">
        <f>(4451049+0+0)</f>
        <v>4451049</v>
      </c>
      <c r="F126" s="3">
        <f>21638</f>
        <v>21638</v>
      </c>
      <c r="G126" s="3">
        <f>4305865</f>
        <v>4305865</v>
      </c>
      <c r="H126" s="3">
        <f>(21638+4305865)</f>
        <v>4327503</v>
      </c>
      <c r="I126" s="3">
        <f>((4451049+0+0)-(21638+4305865))</f>
        <v>123546</v>
      </c>
    </row>
    <row r="127" spans="1:9" ht="14" x14ac:dyDescent="0.3">
      <c r="A127" s="2" t="s">
        <v>19</v>
      </c>
      <c r="B127" s="3">
        <f>204591</f>
        <v>204591</v>
      </c>
      <c r="C127" s="3">
        <f>3868</f>
        <v>3868</v>
      </c>
      <c r="D127" s="3">
        <f>0</f>
        <v>0</v>
      </c>
      <c r="E127" s="3">
        <f>(204591+3868+0)</f>
        <v>208459</v>
      </c>
      <c r="F127" s="3">
        <f>25</f>
        <v>25</v>
      </c>
      <c r="G127" s="3">
        <f>192590</f>
        <v>192590</v>
      </c>
      <c r="H127" s="3">
        <f>(25+192590)</f>
        <v>192615</v>
      </c>
      <c r="I127" s="3">
        <f>((204591+3868+0)-(25+192590))</f>
        <v>15844</v>
      </c>
    </row>
    <row r="128" spans="1:9" ht="14" x14ac:dyDescent="0.3">
      <c r="A128" s="2" t="s">
        <v>20</v>
      </c>
      <c r="B128" s="3">
        <f>0</f>
        <v>0</v>
      </c>
      <c r="C128" s="3">
        <f>0</f>
        <v>0</v>
      </c>
      <c r="D128" s="3">
        <f>0</f>
        <v>0</v>
      </c>
      <c r="E128" s="3">
        <f>(0+0+0)</f>
        <v>0</v>
      </c>
      <c r="F128" s="3">
        <f>0</f>
        <v>0</v>
      </c>
      <c r="G128" s="3">
        <f>0</f>
        <v>0</v>
      </c>
      <c r="H128" s="3">
        <f>(0+0)</f>
        <v>0</v>
      </c>
      <c r="I128" s="3">
        <f>((0+0+0)-(0+0))</f>
        <v>0</v>
      </c>
    </row>
    <row r="129" spans="1:9" ht="14" x14ac:dyDescent="0.3">
      <c r="A129" s="2" t="s">
        <v>21</v>
      </c>
      <c r="B129" s="3">
        <f>2686412</f>
        <v>2686412</v>
      </c>
      <c r="C129" s="3">
        <f>0</f>
        <v>0</v>
      </c>
      <c r="D129" s="3">
        <f>0</f>
        <v>0</v>
      </c>
      <c r="E129" s="3">
        <f>(2686412+0+0)</f>
        <v>2686412</v>
      </c>
      <c r="F129" s="3">
        <f>0</f>
        <v>0</v>
      </c>
      <c r="G129" s="3">
        <f>2522589</f>
        <v>2522589</v>
      </c>
      <c r="H129" s="3">
        <f>(0+2522589)</f>
        <v>2522589</v>
      </c>
      <c r="I129" s="3">
        <f>((2686412+0+0)-(0+2522589))</f>
        <v>163823</v>
      </c>
    </row>
    <row r="130" spans="1:9" ht="14" x14ac:dyDescent="0.3">
      <c r="A130" s="2" t="s">
        <v>22</v>
      </c>
      <c r="B130" s="3">
        <f>190011</f>
        <v>190011</v>
      </c>
      <c r="C130" s="3">
        <f>1330478</f>
        <v>1330478</v>
      </c>
      <c r="D130" s="3">
        <f>0</f>
        <v>0</v>
      </c>
      <c r="E130" s="3">
        <f>(190011+1330478+0)</f>
        <v>1520489</v>
      </c>
      <c r="F130" s="3">
        <f>0</f>
        <v>0</v>
      </c>
      <c r="G130" s="3">
        <f>1267542</f>
        <v>1267542</v>
      </c>
      <c r="H130" s="3">
        <f>(0+1267542)</f>
        <v>1267542</v>
      </c>
      <c r="I130" s="3">
        <f>((190011+1330478+0)-(0+1267542))</f>
        <v>252947</v>
      </c>
    </row>
    <row r="131" spans="1:9" ht="14" x14ac:dyDescent="0.3">
      <c r="A131" s="2" t="s">
        <v>23</v>
      </c>
      <c r="B131" s="3">
        <f>934830</f>
        <v>934830</v>
      </c>
      <c r="C131" s="3">
        <f>0</f>
        <v>0</v>
      </c>
      <c r="D131" s="3">
        <f>0</f>
        <v>0</v>
      </c>
      <c r="E131" s="3">
        <f>(934830+0+0)</f>
        <v>934830</v>
      </c>
      <c r="F131" s="3">
        <f>0</f>
        <v>0</v>
      </c>
      <c r="G131" s="3">
        <f>841017</f>
        <v>841017</v>
      </c>
      <c r="H131" s="3">
        <f>(0+841017)</f>
        <v>841017</v>
      </c>
      <c r="I131" s="3">
        <f>((934830+0+0)-(0+841017))</f>
        <v>93813</v>
      </c>
    </row>
    <row r="132" spans="1:9" ht="14" x14ac:dyDescent="0.3">
      <c r="A132" s="2" t="s">
        <v>24</v>
      </c>
      <c r="B132" s="3">
        <f>820186</f>
        <v>820186</v>
      </c>
      <c r="C132" s="3">
        <f>0</f>
        <v>0</v>
      </c>
      <c r="D132" s="3">
        <f>0</f>
        <v>0</v>
      </c>
      <c r="E132" s="3">
        <f>(820186+0+0)</f>
        <v>820186</v>
      </c>
      <c r="F132" s="3">
        <f>44698</f>
        <v>44698</v>
      </c>
      <c r="G132" s="3">
        <f>415337</f>
        <v>415337</v>
      </c>
      <c r="H132" s="3">
        <f>(44698+415337)</f>
        <v>460035</v>
      </c>
      <c r="I132" s="3">
        <f>((820186+0+0)-(44698+415337))</f>
        <v>360151</v>
      </c>
    </row>
    <row r="133" spans="1:9" ht="14" x14ac:dyDescent="0.3">
      <c r="A133" s="2" t="s">
        <v>25</v>
      </c>
      <c r="B133" s="3">
        <f>1125590</f>
        <v>1125590</v>
      </c>
      <c r="C133" s="3">
        <f>0</f>
        <v>0</v>
      </c>
      <c r="D133" s="3">
        <f>0</f>
        <v>0</v>
      </c>
      <c r="E133" s="3">
        <f>(1125590+0+0)</f>
        <v>1125590</v>
      </c>
      <c r="F133" s="3">
        <f>86</f>
        <v>86</v>
      </c>
      <c r="G133" s="3">
        <f>345608</f>
        <v>345608</v>
      </c>
      <c r="H133" s="3">
        <f>(86+345608)</f>
        <v>345694</v>
      </c>
      <c r="I133" s="3">
        <f>((1125590+0+0)-(86+345608))</f>
        <v>779896</v>
      </c>
    </row>
    <row r="134" spans="1:9" ht="14" x14ac:dyDescent="0.3">
      <c r="A134" s="5" t="s">
        <v>32</v>
      </c>
      <c r="B134" s="5"/>
      <c r="C134" s="5"/>
      <c r="D134" s="5"/>
      <c r="E134" s="5"/>
      <c r="F134" s="5"/>
      <c r="G134" s="5"/>
      <c r="H134" s="5"/>
      <c r="I134" s="5"/>
    </row>
    <row r="135" spans="1:9" ht="14" x14ac:dyDescent="0.3">
      <c r="A135" s="4" t="s">
        <v>1</v>
      </c>
      <c r="B135" s="1" t="s">
        <v>2</v>
      </c>
      <c r="C135" s="1" t="s">
        <v>3</v>
      </c>
      <c r="D135" s="1" t="s">
        <v>4</v>
      </c>
      <c r="E135" s="1" t="s">
        <v>5</v>
      </c>
      <c r="F135" s="1" t="s">
        <v>6</v>
      </c>
      <c r="G135" s="1" t="s">
        <v>7</v>
      </c>
      <c r="H135" s="1" t="s">
        <v>8</v>
      </c>
      <c r="I135" s="1" t="s">
        <v>9</v>
      </c>
    </row>
    <row r="136" spans="1:9" ht="14" x14ac:dyDescent="0.3">
      <c r="A136" s="4"/>
      <c r="B136" s="1">
        <v>2024</v>
      </c>
      <c r="C136" s="1">
        <v>2024</v>
      </c>
      <c r="D136" s="1">
        <v>2024</v>
      </c>
      <c r="E136" s="1">
        <v>2024</v>
      </c>
      <c r="F136" s="1">
        <v>2024</v>
      </c>
      <c r="G136" s="1">
        <v>2024</v>
      </c>
      <c r="H136" s="1">
        <v>2024</v>
      </c>
      <c r="I136" s="1">
        <v>2024</v>
      </c>
    </row>
    <row r="137" spans="1:9" ht="14" x14ac:dyDescent="0.3">
      <c r="A137" s="2" t="s">
        <v>10</v>
      </c>
      <c r="B137" s="3">
        <f>1209577</f>
        <v>1209577</v>
      </c>
      <c r="C137" s="3">
        <f>0</f>
        <v>0</v>
      </c>
      <c r="D137" s="3">
        <f>0</f>
        <v>0</v>
      </c>
      <c r="E137" s="3">
        <f>(1209577+0+0)</f>
        <v>1209577</v>
      </c>
      <c r="F137" s="3">
        <f>0</f>
        <v>0</v>
      </c>
      <c r="G137" s="3">
        <f>272227</f>
        <v>272227</v>
      </c>
      <c r="H137" s="3">
        <f>(0+272227)</f>
        <v>272227</v>
      </c>
      <c r="I137" s="3">
        <f>((1209577+0+0)-(0+272227))</f>
        <v>937350</v>
      </c>
    </row>
    <row r="138" spans="1:9" ht="14" x14ac:dyDescent="0.3">
      <c r="A138" s="2" t="s">
        <v>11</v>
      </c>
      <c r="B138" s="3">
        <f>354845</f>
        <v>354845</v>
      </c>
      <c r="C138" s="3">
        <f>0</f>
        <v>0</v>
      </c>
      <c r="D138" s="3">
        <f>0</f>
        <v>0</v>
      </c>
      <c r="E138" s="3">
        <f>(354845+0+0)</f>
        <v>354845</v>
      </c>
      <c r="F138" s="3">
        <f>0</f>
        <v>0</v>
      </c>
      <c r="G138" s="3">
        <f>149431</f>
        <v>149431</v>
      </c>
      <c r="H138" s="3">
        <f>(0+149431)</f>
        <v>149431</v>
      </c>
      <c r="I138" s="3">
        <f>((354845+0+0)-(0+149431))</f>
        <v>205414</v>
      </c>
    </row>
    <row r="139" spans="1:9" ht="14" x14ac:dyDescent="0.3">
      <c r="A139" s="2" t="s">
        <v>12</v>
      </c>
      <c r="B139" s="3">
        <f>471745</f>
        <v>471745</v>
      </c>
      <c r="C139" s="3">
        <f>0</f>
        <v>0</v>
      </c>
      <c r="D139" s="3">
        <f>0</f>
        <v>0</v>
      </c>
      <c r="E139" s="3">
        <f>(471745+0+0)</f>
        <v>471745</v>
      </c>
      <c r="F139" s="3">
        <f>0</f>
        <v>0</v>
      </c>
      <c r="G139" s="3">
        <f>245647</f>
        <v>245647</v>
      </c>
      <c r="H139" s="3">
        <f>(0+245647)</f>
        <v>245647</v>
      </c>
      <c r="I139" s="3">
        <f>((471745+0+0)-(0+245647))</f>
        <v>226098</v>
      </c>
    </row>
    <row r="140" spans="1:9" ht="14" x14ac:dyDescent="0.3">
      <c r="A140" s="2" t="s">
        <v>13</v>
      </c>
      <c r="B140" s="3">
        <f>762479</f>
        <v>762479</v>
      </c>
      <c r="C140" s="3">
        <f>91607</f>
        <v>91607</v>
      </c>
      <c r="D140" s="3">
        <f>0</f>
        <v>0</v>
      </c>
      <c r="E140" s="3">
        <f>(762479+91607+0)</f>
        <v>854086</v>
      </c>
      <c r="F140" s="3">
        <f>0</f>
        <v>0</v>
      </c>
      <c r="G140" s="3">
        <f>0</f>
        <v>0</v>
      </c>
      <c r="H140" s="3">
        <f>(0+0)</f>
        <v>0</v>
      </c>
      <c r="I140" s="3">
        <f>((762479+91607+0)-(0+0))</f>
        <v>854086</v>
      </c>
    </row>
    <row r="141" spans="1:9" ht="14" x14ac:dyDescent="0.3">
      <c r="A141" s="2" t="s">
        <v>14</v>
      </c>
      <c r="B141" s="3">
        <f>2674834</f>
        <v>2674834</v>
      </c>
      <c r="C141" s="3">
        <f>0</f>
        <v>0</v>
      </c>
      <c r="D141" s="3">
        <f>0</f>
        <v>0</v>
      </c>
      <c r="E141" s="3">
        <f>(2674834+0+0)</f>
        <v>2674834</v>
      </c>
      <c r="F141" s="3">
        <f>0</f>
        <v>0</v>
      </c>
      <c r="G141" s="3">
        <f>937160</f>
        <v>937160</v>
      </c>
      <c r="H141" s="3">
        <f>(0+937160)</f>
        <v>937160</v>
      </c>
      <c r="I141" s="3">
        <f>((2674834+0+0)-(0+937160))</f>
        <v>1737674</v>
      </c>
    </row>
    <row r="142" spans="1:9" ht="14" x14ac:dyDescent="0.3">
      <c r="A142" s="2" t="s">
        <v>15</v>
      </c>
      <c r="B142" s="3">
        <f>1986600</f>
        <v>1986600</v>
      </c>
      <c r="C142" s="3">
        <f>0</f>
        <v>0</v>
      </c>
      <c r="D142" s="3">
        <f>0</f>
        <v>0</v>
      </c>
      <c r="E142" s="3">
        <f>(1986600+0+0)</f>
        <v>1986600</v>
      </c>
      <c r="F142" s="3">
        <f>0</f>
        <v>0</v>
      </c>
      <c r="G142" s="3">
        <f>595499</f>
        <v>595499</v>
      </c>
      <c r="H142" s="3">
        <f>(0+595499)</f>
        <v>595499</v>
      </c>
      <c r="I142" s="3">
        <f>((1986600+0+0)-(0+595499))</f>
        <v>1391101</v>
      </c>
    </row>
    <row r="143" spans="1:9" ht="14" x14ac:dyDescent="0.3">
      <c r="A143" s="2" t="s">
        <v>16</v>
      </c>
      <c r="B143" s="3">
        <f>0</f>
        <v>0</v>
      </c>
      <c r="C143" s="3">
        <f>0</f>
        <v>0</v>
      </c>
      <c r="D143" s="3">
        <f>0</f>
        <v>0</v>
      </c>
      <c r="E143" s="3">
        <f>(0+0+0)</f>
        <v>0</v>
      </c>
      <c r="F143" s="3">
        <f>0</f>
        <v>0</v>
      </c>
      <c r="G143" s="3">
        <f>0</f>
        <v>0</v>
      </c>
      <c r="H143" s="3">
        <f>(0+0)</f>
        <v>0</v>
      </c>
      <c r="I143" s="3">
        <f>((0+0+0)-(0+0))</f>
        <v>0</v>
      </c>
    </row>
    <row r="144" spans="1:9" ht="14" x14ac:dyDescent="0.3">
      <c r="A144" s="2" t="s">
        <v>17</v>
      </c>
      <c r="B144" s="3">
        <f>201717</f>
        <v>201717</v>
      </c>
      <c r="C144" s="3">
        <f>0</f>
        <v>0</v>
      </c>
      <c r="D144" s="3">
        <f>0</f>
        <v>0</v>
      </c>
      <c r="E144" s="3">
        <f>(201717+0+0)</f>
        <v>201717</v>
      </c>
      <c r="F144" s="3">
        <f>0</f>
        <v>0</v>
      </c>
      <c r="G144" s="3">
        <f>1863</f>
        <v>1863</v>
      </c>
      <c r="H144" s="3">
        <f>(0+1863)</f>
        <v>1863</v>
      </c>
      <c r="I144" s="3">
        <f>((201717+0+0)-(0+1863))</f>
        <v>199854</v>
      </c>
    </row>
    <row r="145" spans="1:9" ht="14" x14ac:dyDescent="0.3">
      <c r="A145" s="2" t="s">
        <v>18</v>
      </c>
      <c r="B145" s="3">
        <f>341480</f>
        <v>341480</v>
      </c>
      <c r="C145" s="3">
        <f>0</f>
        <v>0</v>
      </c>
      <c r="D145" s="3">
        <f>0</f>
        <v>0</v>
      </c>
      <c r="E145" s="3">
        <f>(341480+0+0)</f>
        <v>341480</v>
      </c>
      <c r="F145" s="3">
        <f>0</f>
        <v>0</v>
      </c>
      <c r="G145" s="3">
        <f>255218</f>
        <v>255218</v>
      </c>
      <c r="H145" s="3">
        <f>(0+255218)</f>
        <v>255218</v>
      </c>
      <c r="I145" s="3">
        <f>((341480+0+0)-(0+255218))</f>
        <v>86262</v>
      </c>
    </row>
    <row r="146" spans="1:9" ht="14" x14ac:dyDescent="0.3">
      <c r="A146" s="2" t="s">
        <v>19</v>
      </c>
      <c r="B146" s="3">
        <f>278507</f>
        <v>278507</v>
      </c>
      <c r="C146" s="3">
        <f>0</f>
        <v>0</v>
      </c>
      <c r="D146" s="3">
        <f>0</f>
        <v>0</v>
      </c>
      <c r="E146" s="3">
        <f>(278507+0+0)</f>
        <v>278507</v>
      </c>
      <c r="F146" s="3">
        <f>0</f>
        <v>0</v>
      </c>
      <c r="G146" s="3">
        <f>207961</f>
        <v>207961</v>
      </c>
      <c r="H146" s="3">
        <f>(0+207961)</f>
        <v>207961</v>
      </c>
      <c r="I146" s="3">
        <f>((278507+0+0)-(0+207961))</f>
        <v>70546</v>
      </c>
    </row>
    <row r="147" spans="1:9" ht="14" x14ac:dyDescent="0.3">
      <c r="A147" s="2" t="s">
        <v>20</v>
      </c>
      <c r="B147" s="3">
        <f>684216</f>
        <v>684216</v>
      </c>
      <c r="C147" s="3">
        <f>0</f>
        <v>0</v>
      </c>
      <c r="D147" s="3">
        <f>0</f>
        <v>0</v>
      </c>
      <c r="E147" s="3">
        <f>(684216+0+0)</f>
        <v>684216</v>
      </c>
      <c r="F147" s="3">
        <f>0</f>
        <v>0</v>
      </c>
      <c r="G147" s="3">
        <f>480</f>
        <v>480</v>
      </c>
      <c r="H147" s="3">
        <f>(0+480)</f>
        <v>480</v>
      </c>
      <c r="I147" s="3">
        <f>((684216+0+0)-(0+480))</f>
        <v>683736</v>
      </c>
    </row>
    <row r="148" spans="1:9" ht="14" x14ac:dyDescent="0.3">
      <c r="A148" s="2" t="s">
        <v>21</v>
      </c>
      <c r="B148" s="3">
        <f>1152874</f>
        <v>1152874</v>
      </c>
      <c r="C148" s="3">
        <f>0</f>
        <v>0</v>
      </c>
      <c r="D148" s="3">
        <f>0</f>
        <v>0</v>
      </c>
      <c r="E148" s="3">
        <f>(1152874+0+0)</f>
        <v>1152874</v>
      </c>
      <c r="F148" s="3">
        <f>0</f>
        <v>0</v>
      </c>
      <c r="G148" s="3">
        <f>658352</f>
        <v>658352</v>
      </c>
      <c r="H148" s="3">
        <f>(0+658352)</f>
        <v>658352</v>
      </c>
      <c r="I148" s="3">
        <f>((1152874+0+0)-(0+658352))</f>
        <v>494522</v>
      </c>
    </row>
    <row r="149" spans="1:9" ht="14" x14ac:dyDescent="0.3">
      <c r="A149" s="2" t="s">
        <v>22</v>
      </c>
      <c r="B149" s="3">
        <f>604461</f>
        <v>604461</v>
      </c>
      <c r="C149" s="3">
        <f>1</f>
        <v>1</v>
      </c>
      <c r="D149" s="3">
        <f>0</f>
        <v>0</v>
      </c>
      <c r="E149" s="3">
        <f>(604461+1+0)</f>
        <v>604462</v>
      </c>
      <c r="F149" s="3">
        <f>0</f>
        <v>0</v>
      </c>
      <c r="G149" s="3">
        <f>19493</f>
        <v>19493</v>
      </c>
      <c r="H149" s="3">
        <f>(0+19493)</f>
        <v>19493</v>
      </c>
      <c r="I149" s="3">
        <f>((604461+1+0)-(0+19493))</f>
        <v>584969</v>
      </c>
    </row>
    <row r="150" spans="1:9" ht="14" x14ac:dyDescent="0.3">
      <c r="A150" s="2" t="s">
        <v>23</v>
      </c>
      <c r="B150" s="3">
        <f>760635</f>
        <v>760635</v>
      </c>
      <c r="C150" s="3">
        <f>0</f>
        <v>0</v>
      </c>
      <c r="D150" s="3">
        <f>0</f>
        <v>0</v>
      </c>
      <c r="E150" s="3">
        <f>(760635+0+0)</f>
        <v>760635</v>
      </c>
      <c r="F150" s="3">
        <f>0</f>
        <v>0</v>
      </c>
      <c r="G150" s="3">
        <f>426975</f>
        <v>426975</v>
      </c>
      <c r="H150" s="3">
        <f>(0+426975)</f>
        <v>426975</v>
      </c>
      <c r="I150" s="3">
        <f>((760635+0+0)-(0+426975))</f>
        <v>333660</v>
      </c>
    </row>
    <row r="151" spans="1:9" ht="14" x14ac:dyDescent="0.3">
      <c r="A151" s="2" t="s">
        <v>24</v>
      </c>
      <c r="B151" s="3">
        <f>10779984</f>
        <v>10779984</v>
      </c>
      <c r="C151" s="3">
        <f>0</f>
        <v>0</v>
      </c>
      <c r="D151" s="3">
        <f>0</f>
        <v>0</v>
      </c>
      <c r="E151" s="3">
        <f>(10779984+0+0)</f>
        <v>10779984</v>
      </c>
      <c r="F151" s="3">
        <f>0</f>
        <v>0</v>
      </c>
      <c r="G151" s="3">
        <f>54103</f>
        <v>54103</v>
      </c>
      <c r="H151" s="3">
        <f>(0+54103)</f>
        <v>54103</v>
      </c>
      <c r="I151" s="3">
        <f>((10779984+0+0)-(0+54103))</f>
        <v>10725881</v>
      </c>
    </row>
    <row r="152" spans="1:9" ht="14" x14ac:dyDescent="0.3">
      <c r="A152" s="2" t="s">
        <v>25</v>
      </c>
      <c r="B152" s="3">
        <f>949326</f>
        <v>949326</v>
      </c>
      <c r="C152" s="3">
        <f>0</f>
        <v>0</v>
      </c>
      <c r="D152" s="3">
        <f>0</f>
        <v>0</v>
      </c>
      <c r="E152" s="3">
        <f>(949326+0+0)</f>
        <v>949326</v>
      </c>
      <c r="F152" s="3">
        <f>0</f>
        <v>0</v>
      </c>
      <c r="G152" s="3">
        <f>95</f>
        <v>95</v>
      </c>
      <c r="H152" s="3">
        <f>(0+95)</f>
        <v>95</v>
      </c>
      <c r="I152" s="3">
        <f>((949326+0+0)-(0+95))</f>
        <v>949231</v>
      </c>
    </row>
    <row r="153" spans="1:9" ht="14" x14ac:dyDescent="0.3">
      <c r="A153" s="5" t="s">
        <v>33</v>
      </c>
      <c r="B153" s="5"/>
      <c r="C153" s="5"/>
      <c r="D153" s="5"/>
      <c r="E153" s="5"/>
      <c r="F153" s="5"/>
      <c r="G153" s="5"/>
      <c r="H153" s="5"/>
      <c r="I153" s="5"/>
    </row>
    <row r="154" spans="1:9" ht="14" x14ac:dyDescent="0.3">
      <c r="A154" s="4" t="s">
        <v>1</v>
      </c>
      <c r="B154" s="1" t="s">
        <v>2</v>
      </c>
      <c r="C154" s="1" t="s">
        <v>3</v>
      </c>
      <c r="D154" s="1" t="s">
        <v>4</v>
      </c>
      <c r="E154" s="1" t="s">
        <v>5</v>
      </c>
      <c r="F154" s="1" t="s">
        <v>6</v>
      </c>
      <c r="G154" s="1" t="s">
        <v>7</v>
      </c>
      <c r="H154" s="1" t="s">
        <v>8</v>
      </c>
      <c r="I154" s="1" t="s">
        <v>9</v>
      </c>
    </row>
    <row r="155" spans="1:9" ht="14" x14ac:dyDescent="0.3">
      <c r="A155" s="4"/>
      <c r="B155" s="1">
        <v>2024</v>
      </c>
      <c r="C155" s="1">
        <v>2024</v>
      </c>
      <c r="D155" s="1">
        <v>2024</v>
      </c>
      <c r="E155" s="1">
        <v>2024</v>
      </c>
      <c r="F155" s="1">
        <v>2024</v>
      </c>
      <c r="G155" s="1">
        <v>2024</v>
      </c>
      <c r="H155" s="1">
        <v>2024</v>
      </c>
      <c r="I155" s="1">
        <v>2024</v>
      </c>
    </row>
    <row r="156" spans="1:9" ht="14" x14ac:dyDescent="0.3">
      <c r="A156" s="2" t="s">
        <v>10</v>
      </c>
      <c r="B156" s="3">
        <f>5403512</f>
        <v>5403512</v>
      </c>
      <c r="C156" s="3">
        <f>0</f>
        <v>0</v>
      </c>
      <c r="D156" s="3">
        <f>0</f>
        <v>0</v>
      </c>
      <c r="E156" s="3">
        <f>(5403512+0+0)</f>
        <v>5403512</v>
      </c>
      <c r="F156" s="3">
        <f>0</f>
        <v>0</v>
      </c>
      <c r="G156" s="3">
        <f>5344566</f>
        <v>5344566</v>
      </c>
      <c r="H156" s="3">
        <f>(0+5344566)</f>
        <v>5344566</v>
      </c>
      <c r="I156" s="3">
        <f>((5403512+0+0)-(0+5344566))</f>
        <v>58946</v>
      </c>
    </row>
    <row r="157" spans="1:9" ht="14" x14ac:dyDescent="0.3">
      <c r="A157" s="2" t="s">
        <v>11</v>
      </c>
      <c r="B157" s="3">
        <f>726278</f>
        <v>726278</v>
      </c>
      <c r="C157" s="3">
        <f>0</f>
        <v>0</v>
      </c>
      <c r="D157" s="3">
        <f>0</f>
        <v>0</v>
      </c>
      <c r="E157" s="3">
        <f>(726278+0+0)</f>
        <v>726278</v>
      </c>
      <c r="F157" s="3">
        <f>0</f>
        <v>0</v>
      </c>
      <c r="G157" s="3">
        <f>317</f>
        <v>317</v>
      </c>
      <c r="H157" s="3">
        <f>(0+317)</f>
        <v>317</v>
      </c>
      <c r="I157" s="3">
        <f>((726278+0+0)-(0+317))</f>
        <v>725961</v>
      </c>
    </row>
    <row r="158" spans="1:9" ht="14" x14ac:dyDescent="0.3">
      <c r="A158" s="2" t="s">
        <v>12</v>
      </c>
      <c r="B158" s="3">
        <f>3983984</f>
        <v>3983984</v>
      </c>
      <c r="C158" s="3">
        <f>0</f>
        <v>0</v>
      </c>
      <c r="D158" s="3">
        <f>0</f>
        <v>0</v>
      </c>
      <c r="E158" s="3">
        <f>(3983984+0+0)</f>
        <v>3983984</v>
      </c>
      <c r="F158" s="3">
        <f>0</f>
        <v>0</v>
      </c>
      <c r="G158" s="3">
        <f>2267524</f>
        <v>2267524</v>
      </c>
      <c r="H158" s="3">
        <f>(0+2267524)</f>
        <v>2267524</v>
      </c>
      <c r="I158" s="3">
        <f>((3983984+0+0)-(0+2267524))</f>
        <v>1716460</v>
      </c>
    </row>
    <row r="159" spans="1:9" ht="14" x14ac:dyDescent="0.3">
      <c r="A159" s="2" t="s">
        <v>13</v>
      </c>
      <c r="B159" s="3">
        <f>842394</f>
        <v>842394</v>
      </c>
      <c r="C159" s="3">
        <f>3300</f>
        <v>3300</v>
      </c>
      <c r="D159" s="3">
        <f>0</f>
        <v>0</v>
      </c>
      <c r="E159" s="3">
        <f>(842394+3300+0)</f>
        <v>845694</v>
      </c>
      <c r="F159" s="3">
        <f>0</f>
        <v>0</v>
      </c>
      <c r="G159" s="3">
        <f>2772</f>
        <v>2772</v>
      </c>
      <c r="H159" s="3">
        <f>(0+2772)</f>
        <v>2772</v>
      </c>
      <c r="I159" s="3">
        <f>((842394+3300+0)-(0+2772))</f>
        <v>842922</v>
      </c>
    </row>
    <row r="160" spans="1:9" ht="14" x14ac:dyDescent="0.3">
      <c r="A160" s="2" t="s">
        <v>14</v>
      </c>
      <c r="B160" s="3">
        <f>602101</f>
        <v>602101</v>
      </c>
      <c r="C160" s="3">
        <f>0</f>
        <v>0</v>
      </c>
      <c r="D160" s="3">
        <f>0</f>
        <v>0</v>
      </c>
      <c r="E160" s="3">
        <f>(602101+0+0)</f>
        <v>602101</v>
      </c>
      <c r="F160" s="3">
        <f>15500</f>
        <v>15500</v>
      </c>
      <c r="G160" s="3">
        <f>322689</f>
        <v>322689</v>
      </c>
      <c r="H160" s="3">
        <f>(15500+322689)</f>
        <v>338189</v>
      </c>
      <c r="I160" s="3">
        <f>((602101+0+0)-(15500+322689))</f>
        <v>263912</v>
      </c>
    </row>
    <row r="161" spans="1:9" ht="14" x14ac:dyDescent="0.3">
      <c r="A161" s="2" t="s">
        <v>15</v>
      </c>
      <c r="B161" s="3">
        <f>31941</f>
        <v>31941</v>
      </c>
      <c r="C161" s="3">
        <f>0</f>
        <v>0</v>
      </c>
      <c r="D161" s="3">
        <f>0</f>
        <v>0</v>
      </c>
      <c r="E161" s="3">
        <f>(31941+0+0)</f>
        <v>31941</v>
      </c>
      <c r="F161" s="3">
        <f>2269</f>
        <v>2269</v>
      </c>
      <c r="G161" s="3">
        <f>19467</f>
        <v>19467</v>
      </c>
      <c r="H161" s="3">
        <f>(2269+19467)</f>
        <v>21736</v>
      </c>
      <c r="I161" s="3">
        <f>((31941+0+0)-(2269+19467))</f>
        <v>10205</v>
      </c>
    </row>
    <row r="162" spans="1:9" ht="14" x14ac:dyDescent="0.3">
      <c r="A162" s="2" t="s">
        <v>16</v>
      </c>
      <c r="B162" s="3">
        <f>27</f>
        <v>27</v>
      </c>
      <c r="C162" s="3">
        <f>0</f>
        <v>0</v>
      </c>
      <c r="D162" s="3">
        <f>0</f>
        <v>0</v>
      </c>
      <c r="E162" s="3">
        <f>(27+0+0)</f>
        <v>27</v>
      </c>
      <c r="F162" s="3">
        <f>0</f>
        <v>0</v>
      </c>
      <c r="G162" s="3">
        <f>0</f>
        <v>0</v>
      </c>
      <c r="H162" s="3">
        <f>(0+0)</f>
        <v>0</v>
      </c>
      <c r="I162" s="3">
        <f>((27+0+0)-(0+0))</f>
        <v>27</v>
      </c>
    </row>
    <row r="163" spans="1:9" ht="14" x14ac:dyDescent="0.3">
      <c r="A163" s="2" t="s">
        <v>17</v>
      </c>
      <c r="B163" s="3">
        <f>1731</f>
        <v>1731</v>
      </c>
      <c r="C163" s="3">
        <f>0</f>
        <v>0</v>
      </c>
      <c r="D163" s="3">
        <f>0</f>
        <v>0</v>
      </c>
      <c r="E163" s="3">
        <f>(1731+0+0)</f>
        <v>1731</v>
      </c>
      <c r="F163" s="3">
        <f>0</f>
        <v>0</v>
      </c>
      <c r="G163" s="3">
        <f>36</f>
        <v>36</v>
      </c>
      <c r="H163" s="3">
        <f>(0+36)</f>
        <v>36</v>
      </c>
      <c r="I163" s="3">
        <f>((1731+0+0)-(0+36))</f>
        <v>1695</v>
      </c>
    </row>
    <row r="164" spans="1:9" ht="14" x14ac:dyDescent="0.3">
      <c r="A164" s="2" t="s">
        <v>18</v>
      </c>
      <c r="B164" s="3">
        <f>225004</f>
        <v>225004</v>
      </c>
      <c r="C164" s="3">
        <f>0</f>
        <v>0</v>
      </c>
      <c r="D164" s="3">
        <f>0</f>
        <v>0</v>
      </c>
      <c r="E164" s="3">
        <f>(225004+0+0)</f>
        <v>225004</v>
      </c>
      <c r="F164" s="3">
        <f>0</f>
        <v>0</v>
      </c>
      <c r="G164" s="3">
        <f>186355</f>
        <v>186355</v>
      </c>
      <c r="H164" s="3">
        <f>(0+186355)</f>
        <v>186355</v>
      </c>
      <c r="I164" s="3">
        <f>((225004+0+0)-(0+186355))</f>
        <v>38649</v>
      </c>
    </row>
    <row r="165" spans="1:9" ht="14" x14ac:dyDescent="0.3">
      <c r="A165" s="2" t="s">
        <v>19</v>
      </c>
      <c r="B165" s="3">
        <f>590669</f>
        <v>590669</v>
      </c>
      <c r="C165" s="3">
        <f>55055</f>
        <v>55055</v>
      </c>
      <c r="D165" s="3">
        <f>1166</f>
        <v>1166</v>
      </c>
      <c r="E165" s="3">
        <f>(590669+55055+1166)</f>
        <v>646890</v>
      </c>
      <c r="F165" s="3">
        <f>0</f>
        <v>0</v>
      </c>
      <c r="G165" s="3">
        <f>526584</f>
        <v>526584</v>
      </c>
      <c r="H165" s="3">
        <f>(0+526584)</f>
        <v>526584</v>
      </c>
      <c r="I165" s="3">
        <f>((590669+55055+1166)-(0+526584))</f>
        <v>120306</v>
      </c>
    </row>
    <row r="166" spans="1:9" ht="14" x14ac:dyDescent="0.3">
      <c r="A166" s="2" t="s">
        <v>20</v>
      </c>
      <c r="B166" s="3">
        <f>0</f>
        <v>0</v>
      </c>
      <c r="C166" s="3">
        <f>0</f>
        <v>0</v>
      </c>
      <c r="D166" s="3">
        <f>0</f>
        <v>0</v>
      </c>
      <c r="E166" s="3">
        <f>(0+0+0)</f>
        <v>0</v>
      </c>
      <c r="F166" s="3">
        <f>0</f>
        <v>0</v>
      </c>
      <c r="G166" s="3">
        <f>0</f>
        <v>0</v>
      </c>
      <c r="H166" s="3">
        <f>(0+0)</f>
        <v>0</v>
      </c>
      <c r="I166" s="3">
        <f>((0+0+0)-(0+0))</f>
        <v>0</v>
      </c>
    </row>
    <row r="167" spans="1:9" ht="14" x14ac:dyDescent="0.3">
      <c r="A167" s="2" t="s">
        <v>21</v>
      </c>
      <c r="B167" s="3">
        <f>2392064</f>
        <v>2392064</v>
      </c>
      <c r="C167" s="3">
        <f>0</f>
        <v>0</v>
      </c>
      <c r="D167" s="3">
        <f>0</f>
        <v>0</v>
      </c>
      <c r="E167" s="3">
        <f>(2392064+0+0)</f>
        <v>2392064</v>
      </c>
      <c r="F167" s="3">
        <f>0</f>
        <v>0</v>
      </c>
      <c r="G167" s="3">
        <f>1479522</f>
        <v>1479522</v>
      </c>
      <c r="H167" s="3">
        <f>(0+1479522)</f>
        <v>1479522</v>
      </c>
      <c r="I167" s="3">
        <f>((2392064+0+0)-(0+1479522))</f>
        <v>912542</v>
      </c>
    </row>
    <row r="168" spans="1:9" ht="14" x14ac:dyDescent="0.3">
      <c r="A168" s="2" t="s">
        <v>22</v>
      </c>
      <c r="B168" s="3">
        <f>192129</f>
        <v>192129</v>
      </c>
      <c r="C168" s="3">
        <f>(-13)</f>
        <v>-13</v>
      </c>
      <c r="D168" s="3">
        <f>0</f>
        <v>0</v>
      </c>
      <c r="E168" s="3">
        <f>(192129+(-13)+0)</f>
        <v>192116</v>
      </c>
      <c r="F168" s="3">
        <f>0</f>
        <v>0</v>
      </c>
      <c r="G168" s="3">
        <f>183341</f>
        <v>183341</v>
      </c>
      <c r="H168" s="3">
        <f>(0+183341)</f>
        <v>183341</v>
      </c>
      <c r="I168" s="3">
        <f>((192129+(-13)+0)-(0+183341))</f>
        <v>8775</v>
      </c>
    </row>
    <row r="169" spans="1:9" ht="14" x14ac:dyDescent="0.3">
      <c r="A169" s="2" t="s">
        <v>23</v>
      </c>
      <c r="B169" s="3">
        <f>513442</f>
        <v>513442</v>
      </c>
      <c r="C169" s="3">
        <f>0</f>
        <v>0</v>
      </c>
      <c r="D169" s="3">
        <f>0</f>
        <v>0</v>
      </c>
      <c r="E169" s="3">
        <f>(513442+0+0)</f>
        <v>513442</v>
      </c>
      <c r="F169" s="3">
        <f>0</f>
        <v>0</v>
      </c>
      <c r="G169" s="3">
        <f>448064</f>
        <v>448064</v>
      </c>
      <c r="H169" s="3">
        <f>(0+448064)</f>
        <v>448064</v>
      </c>
      <c r="I169" s="3">
        <f>((513442+0+0)-(0+448064))</f>
        <v>65378</v>
      </c>
    </row>
    <row r="170" spans="1:9" ht="14" x14ac:dyDescent="0.3">
      <c r="A170" s="2" t="s">
        <v>24</v>
      </c>
      <c r="B170" s="3">
        <f>364629</f>
        <v>364629</v>
      </c>
      <c r="C170" s="3">
        <f>0</f>
        <v>0</v>
      </c>
      <c r="D170" s="3">
        <f>0</f>
        <v>0</v>
      </c>
      <c r="E170" s="3">
        <f>(364629+0+0)</f>
        <v>364629</v>
      </c>
      <c r="F170" s="3">
        <f>5440</f>
        <v>5440</v>
      </c>
      <c r="G170" s="3">
        <f>50380</f>
        <v>50380</v>
      </c>
      <c r="H170" s="3">
        <f>(5440+50380)</f>
        <v>55820</v>
      </c>
      <c r="I170" s="3">
        <f>((364629+0+0)-(5440+50380))</f>
        <v>308809</v>
      </c>
    </row>
    <row r="171" spans="1:9" ht="14" x14ac:dyDescent="0.3">
      <c r="A171" s="2" t="s">
        <v>25</v>
      </c>
      <c r="B171" s="3">
        <f>566887</f>
        <v>566887</v>
      </c>
      <c r="C171" s="3">
        <f>0</f>
        <v>0</v>
      </c>
      <c r="D171" s="3">
        <f>0</f>
        <v>0</v>
      </c>
      <c r="E171" s="3">
        <f>(566887+0+0)</f>
        <v>566887</v>
      </c>
      <c r="F171" s="3">
        <f>0</f>
        <v>0</v>
      </c>
      <c r="G171" s="3">
        <f>(-193)</f>
        <v>-193</v>
      </c>
      <c r="H171" s="3">
        <f>(0+(-193))</f>
        <v>-193</v>
      </c>
      <c r="I171" s="3">
        <f>((566887+0+0)-(0+(-193)))</f>
        <v>567080</v>
      </c>
    </row>
    <row r="172" spans="1:9" ht="14" x14ac:dyDescent="0.3">
      <c r="A172" s="5" t="s">
        <v>34</v>
      </c>
      <c r="B172" s="5"/>
      <c r="C172" s="5"/>
      <c r="D172" s="5"/>
      <c r="E172" s="5"/>
      <c r="F172" s="5"/>
      <c r="G172" s="5"/>
      <c r="H172" s="5"/>
      <c r="I172" s="5"/>
    </row>
    <row r="173" spans="1:9" ht="14" x14ac:dyDescent="0.3">
      <c r="A173" s="4" t="s">
        <v>1</v>
      </c>
      <c r="B173" s="1" t="s">
        <v>2</v>
      </c>
      <c r="C173" s="1" t="s">
        <v>3</v>
      </c>
      <c r="D173" s="1" t="s">
        <v>4</v>
      </c>
      <c r="E173" s="1" t="s">
        <v>5</v>
      </c>
      <c r="F173" s="1" t="s">
        <v>6</v>
      </c>
      <c r="G173" s="1" t="s">
        <v>7</v>
      </c>
      <c r="H173" s="1" t="s">
        <v>8</v>
      </c>
      <c r="I173" s="1" t="s">
        <v>9</v>
      </c>
    </row>
    <row r="174" spans="1:9" ht="14" x14ac:dyDescent="0.3">
      <c r="A174" s="4"/>
      <c r="B174" s="1">
        <v>2024</v>
      </c>
      <c r="C174" s="1">
        <v>2024</v>
      </c>
      <c r="D174" s="1">
        <v>2024</v>
      </c>
      <c r="E174" s="1">
        <v>2024</v>
      </c>
      <c r="F174" s="1">
        <v>2024</v>
      </c>
      <c r="G174" s="1">
        <v>2024</v>
      </c>
      <c r="H174" s="1">
        <v>2024</v>
      </c>
      <c r="I174" s="1">
        <v>2024</v>
      </c>
    </row>
    <row r="175" spans="1:9" ht="14" x14ac:dyDescent="0.3">
      <c r="A175" s="2" t="s">
        <v>10</v>
      </c>
      <c r="B175" s="3">
        <f>((148951+25403484+(2402967+2843032)+398015+8321068+5403512)+1209577)</f>
        <v>46130606</v>
      </c>
      <c r="C175" s="3">
        <f t="shared" ref="C175:D177" si="2">((0+0+(0+0)+0+0+0)+0)</f>
        <v>0</v>
      </c>
      <c r="D175" s="3">
        <f t="shared" si="2"/>
        <v>0</v>
      </c>
      <c r="E175" s="3">
        <f>(((148951+25403484+(2402967+2843032)+398015+8321068+5403512)+1209577)+((0+0+(0+0)+0+0+0)+0)+((0+0+(0+0)+0+0+0)+0))</f>
        <v>46130606</v>
      </c>
      <c r="F175" s="3">
        <f>((0+0+(0+0)+0+0+0)+0)</f>
        <v>0</v>
      </c>
      <c r="G175" s="3">
        <f>((95403+25402809+(529646+400356)+189087+7868191+5344566)+272227)</f>
        <v>40102285</v>
      </c>
      <c r="H175" s="3">
        <f>(((0+0+(0+0)+0+0+0)+0)+((95403+25402809+(529646+400356)+189087+7868191+5344566)+272227))</f>
        <v>40102285</v>
      </c>
      <c r="I175" s="3">
        <f>((((148951+25403484+(2402967+2843032)+398015+8321068+5403512)+1209577)+((0+0+(0+0)+0+0+0)+0)+((0+0+(0+0)+0+0+0)+0))-(((0+0+(0+0)+0+0+0)+0)+((95403+25402809+(529646+400356)+189087+7868191+5344566)+272227)))</f>
        <v>6028321</v>
      </c>
    </row>
    <row r="176" spans="1:9" ht="14" x14ac:dyDescent="0.3">
      <c r="A176" s="2" t="s">
        <v>11</v>
      </c>
      <c r="B176" s="3">
        <f>((0+0+(0+0)+0+0+726278)+354845)</f>
        <v>1081123</v>
      </c>
      <c r="C176" s="3">
        <f t="shared" si="2"/>
        <v>0</v>
      </c>
      <c r="D176" s="3">
        <f t="shared" si="2"/>
        <v>0</v>
      </c>
      <c r="E176" s="3">
        <f>(((0+0+(0+0)+0+0+726278)+354845)+((0+0+(0+0)+0+0+0)+0)+((0+0+(0+0)+0+0+0)+0))</f>
        <v>1081123</v>
      </c>
      <c r="F176" s="3">
        <f>((0+0+(0+0)+0+0+0)+0)</f>
        <v>0</v>
      </c>
      <c r="G176" s="3">
        <f>((0+0+(0+0)+0+0+317)+149431)</f>
        <v>149748</v>
      </c>
      <c r="H176" s="3">
        <f>(((0+0+(0+0)+0+0+0)+0)+((0+0+(0+0)+0+0+317)+149431))</f>
        <v>149748</v>
      </c>
      <c r="I176" s="3">
        <f>((((0+0+(0+0)+0+0+726278)+354845)+((0+0+(0+0)+0+0+0)+0)+((0+0+(0+0)+0+0+0)+0))-(((0+0+(0+0)+0+0+0)+0)+((0+0+(0+0)+0+0+317)+149431)))</f>
        <v>931375</v>
      </c>
    </row>
    <row r="177" spans="1:9" ht="14" x14ac:dyDescent="0.3">
      <c r="A177" s="2" t="s">
        <v>12</v>
      </c>
      <c r="B177" s="3">
        <f>((864856+2936926+(7534951+8789149)+1444607+4064496+3983984)+471745)</f>
        <v>30090714</v>
      </c>
      <c r="C177" s="3">
        <f t="shared" si="2"/>
        <v>0</v>
      </c>
      <c r="D177" s="3">
        <f t="shared" si="2"/>
        <v>0</v>
      </c>
      <c r="E177" s="3">
        <f>(((864856+2936926+(7534951+8789149)+1444607+4064496+3983984)+471745)+((0+0+(0+0)+0+0+0)+0)+((0+0+(0+0)+0+0+0)+0))</f>
        <v>30090714</v>
      </c>
      <c r="F177" s="3">
        <f>((27268+139586+(0+0)+0+2500+0)+0)</f>
        <v>169354</v>
      </c>
      <c r="G177" s="3">
        <f>((816759+2725469+(1252469+1134631)+1353327+4011432+2267524)+245647)</f>
        <v>13807258</v>
      </c>
      <c r="H177" s="3">
        <f>(((27268+139586+(0+0)+0+2500+0)+0)+((816759+2725469+(1252469+1134631)+1353327+4011432+2267524)+245647))</f>
        <v>13976612</v>
      </c>
      <c r="I177" s="3">
        <f>((((864856+2936926+(7534951+8789149)+1444607+4064496+3983984)+471745)+((0+0+(0+0)+0+0+0)+0)+((0+0+(0+0)+0+0+0)+0))-(((27268+139586+(0+0)+0+2500+0)+0)+((816759+2725469+(1252469+1134631)+1353327+4011432+2267524)+245647)))</f>
        <v>16114102</v>
      </c>
    </row>
    <row r="178" spans="1:9" ht="14" x14ac:dyDescent="0.3">
      <c r="A178" s="2" t="s">
        <v>13</v>
      </c>
      <c r="B178" s="3">
        <f>((233712+1719800+(520941+3657862)+316099+962667+842394)+762479)</f>
        <v>9015954</v>
      </c>
      <c r="C178" s="3">
        <f>((30250+587231+(0+0)+0+42544+3300)+91607)</f>
        <v>754932</v>
      </c>
      <c r="D178" s="3">
        <f t="shared" ref="D178:D183" si="3">((0+0+(0+0)+0+0+0)+0)</f>
        <v>0</v>
      </c>
      <c r="E178" s="3">
        <f>(((233712+1719800+(520941+3657862)+316099+962667+842394)+762479)+((30250+587231+(0+0)+0+42544+3300)+91607)+((0+0+(0+0)+0+0+0)+0))</f>
        <v>9770886</v>
      </c>
      <c r="F178" s="3">
        <f>((0+10313+(0+0)+0+1550+0)+0)</f>
        <v>11863</v>
      </c>
      <c r="G178" s="3">
        <f>((0+1224887+(0+1473623)+1000+203341+2772)+0)</f>
        <v>2905623</v>
      </c>
      <c r="H178" s="3">
        <f>(((0+10313+(0+0)+0+1550+0)+0)+((0+1224887+(0+1473623)+1000+203341+2772)+0))</f>
        <v>2917486</v>
      </c>
      <c r="I178" s="3">
        <f>((((233712+1719800+(520941+3657862)+316099+962667+842394)+762479)+((30250+587231+(0+0)+0+42544+3300)+91607)+((0+0+(0+0)+0+0+0)+0))-(((0+10313+(0+0)+0+1550+0)+0)+((0+1224887+(0+1473623)+1000+203341+2772)+0)))</f>
        <v>6853400</v>
      </c>
    </row>
    <row r="179" spans="1:9" ht="14" x14ac:dyDescent="0.3">
      <c r="A179" s="2" t="s">
        <v>14</v>
      </c>
      <c r="B179" s="3">
        <f>((1676053+8001071+(4240400+5071206)+1391212+19824053+602101)+2674834)</f>
        <v>43480930</v>
      </c>
      <c r="C179" s="3">
        <f>((0+0+(0+0)+0+0+0)+0)</f>
        <v>0</v>
      </c>
      <c r="D179" s="3">
        <f t="shared" si="3"/>
        <v>0</v>
      </c>
      <c r="E179" s="3">
        <f>(((1676053+8001071+(4240400+5071206)+1391212+19824053+602101)+2674834)+((0+0+(0+0)+0+0+0)+0)+((0+0+(0+0)+0+0+0)+0))</f>
        <v>43480930</v>
      </c>
      <c r="F179" s="3">
        <f>((0+166191+(0+0)+0+0+15500)+0)</f>
        <v>181691</v>
      </c>
      <c r="G179" s="3">
        <f>((1604485+7424928+(486605+581944)+1296340+19471633+322689)+937160)</f>
        <v>32125784</v>
      </c>
      <c r="H179" s="3">
        <f>(((0+166191+(0+0)+0+0+15500)+0)+((1604485+7424928+(486605+581944)+1296340+19471633+322689)+937160))</f>
        <v>32307475</v>
      </c>
      <c r="I179" s="3">
        <f>((((1676053+8001071+(4240400+5071206)+1391212+19824053+602101)+2674834)+((0+0+(0+0)+0+0+0)+0)+((0+0+(0+0)+0+0+0)+0))-(((0+166191+(0+0)+0+0+15500)+0)+((1604485+7424928+(486605+581944)+1296340+19471633+322689)+937160)))</f>
        <v>11173455</v>
      </c>
    </row>
    <row r="180" spans="1:9" ht="14" x14ac:dyDescent="0.3">
      <c r="A180" s="2" t="s">
        <v>15</v>
      </c>
      <c r="B180" s="3">
        <f>((1924+906518+(1929170+3192573)+259836+211278+31941)+1986600)</f>
        <v>8519840</v>
      </c>
      <c r="C180" s="3">
        <f>((0+0+(0+0)+0+0+0)+0)</f>
        <v>0</v>
      </c>
      <c r="D180" s="3">
        <f t="shared" si="3"/>
        <v>0</v>
      </c>
      <c r="E180" s="3">
        <f>(((1924+906518+(1929170+3192573)+259836+211278+31941)+1986600)+((0+0+(0+0)+0+0+0)+0)+((0+0+(0+0)+0+0+0)+0))</f>
        <v>8519840</v>
      </c>
      <c r="F180" s="3">
        <f>((136+81181+(1723+6305)+9437+15728+2269)+0)</f>
        <v>116779</v>
      </c>
      <c r="G180" s="3">
        <f>((1171+696616+(14785+54107)+81155+134964+19467)+595499)</f>
        <v>1597764</v>
      </c>
      <c r="H180" s="3">
        <f>(((136+81181+(1723+6305)+9437+15728+2269)+0)+((1171+696616+(14785+54107)+81155+134964+19467)+595499))</f>
        <v>1714543</v>
      </c>
      <c r="I180" s="3">
        <f>((((1924+906518+(1929170+3192573)+259836+211278+31941)+1986600)+((0+0+(0+0)+0+0+0)+0)+((0+0+(0+0)+0+0+0)+0))-(((136+81181+(1723+6305)+9437+15728+2269)+0)+((1171+696616+(14785+54107)+81155+134964+19467)+595499)))</f>
        <v>6805297</v>
      </c>
    </row>
    <row r="181" spans="1:9" ht="14" x14ac:dyDescent="0.3">
      <c r="A181" s="2" t="s">
        <v>16</v>
      </c>
      <c r="B181" s="3">
        <f>((0+80939+(408121+452262)+3000+10835+27)+0)</f>
        <v>955184</v>
      </c>
      <c r="C181" s="3">
        <f>((0+70774+(0+0)+0+10200+0)+0)</f>
        <v>80974</v>
      </c>
      <c r="D181" s="3">
        <f t="shared" si="3"/>
        <v>0</v>
      </c>
      <c r="E181" s="3">
        <f>(((0+80939+(408121+452262)+3000+10835+27)+0)+((0+70774+(0+0)+0+10200+0)+0)+((0+0+(0+0)+0+0+0)+0))</f>
        <v>1036158</v>
      </c>
      <c r="F181" s="3">
        <f>((0+0+(37113+34325)+0+0+0)+0)</f>
        <v>71438</v>
      </c>
      <c r="G181" s="3">
        <f>((0+0+(0+0)+0+0+0)+0)</f>
        <v>0</v>
      </c>
      <c r="H181" s="3">
        <f>(((0+0+(37113+34325)+0+0+0)+0)+((0+0+(0+0)+0+0+0)+0))</f>
        <v>71438</v>
      </c>
      <c r="I181" s="3">
        <f>((((0+80939+(408121+452262)+3000+10835+27)+0)+((0+70774+(0+0)+0+10200+0)+0)+((0+0+(0+0)+0+0+0)+0))-(((0+0+(37113+34325)+0+0+0)+0)+((0+0+(0+0)+0+0+0)+0)))</f>
        <v>964720</v>
      </c>
    </row>
    <row r="182" spans="1:9" ht="14" x14ac:dyDescent="0.3">
      <c r="A182" s="2" t="s">
        <v>17</v>
      </c>
      <c r="B182" s="3">
        <f>((2616+50634+(152771+74872)+15092+4524+1731)+201717)</f>
        <v>503957</v>
      </c>
      <c r="C182" s="3">
        <f>((0+25337+(0+0)+0+0+0)+0)</f>
        <v>25337</v>
      </c>
      <c r="D182" s="3">
        <f t="shared" si="3"/>
        <v>0</v>
      </c>
      <c r="E182" s="3">
        <f>(((2616+50634+(152771+74872)+15092+4524+1731)+201717)+((0+25337+(0+0)+0+0+0)+0)+((0+0+(0+0)+0+0+0)+0))</f>
        <v>529294</v>
      </c>
      <c r="F182" s="3">
        <f>((0+0+(0+0)+0+0+0)+0)</f>
        <v>0</v>
      </c>
      <c r="G182" s="3">
        <f>((1868+53435+(7548+4971)+0+3223+36)+1863)</f>
        <v>72944</v>
      </c>
      <c r="H182" s="3">
        <f>(((0+0+(0+0)+0+0+0)+0)+((1868+53435+(7548+4971)+0+3223+36)+1863))</f>
        <v>72944</v>
      </c>
      <c r="I182" s="3">
        <f>((((2616+50634+(152771+74872)+15092+4524+1731)+201717)+((0+25337+(0+0)+0+0+0)+0)+((0+0+(0+0)+0+0+0)+0))-(((0+0+(0+0)+0+0+0)+0)+((1868+53435+(7548+4971)+0+3223+36)+1863)))</f>
        <v>456350</v>
      </c>
    </row>
    <row r="183" spans="1:9" ht="14" x14ac:dyDescent="0.3">
      <c r="A183" s="2" t="s">
        <v>18</v>
      </c>
      <c r="B183" s="3">
        <f>((290790+1894641+(1970469+2075086)+1921780+4451049+225004)+341480)</f>
        <v>13170299</v>
      </c>
      <c r="C183" s="3">
        <f>((0+0+(0+0)+0+0+0)+0)</f>
        <v>0</v>
      </c>
      <c r="D183" s="3">
        <f t="shared" si="3"/>
        <v>0</v>
      </c>
      <c r="E183" s="3">
        <f>(((290790+1894641+(1970469+2075086)+1921780+4451049+225004)+341480)+((0+0+(0+0)+0+0+0)+0)+((0+0+(0+0)+0+0+0)+0))</f>
        <v>13170299</v>
      </c>
      <c r="F183" s="3">
        <f>((0+23340+(0+0)+0+21638+0)+0)</f>
        <v>44978</v>
      </c>
      <c r="G183" s="3">
        <f>((258661+1772027+(1083381+886403)+1887187+4305865+186355)+255218)</f>
        <v>10635097</v>
      </c>
      <c r="H183" s="3">
        <f>(((0+23340+(0+0)+0+21638+0)+0)+((258661+1772027+(1083381+886403)+1887187+4305865+186355)+255218))</f>
        <v>10680075</v>
      </c>
      <c r="I183" s="3">
        <f>((((290790+1894641+(1970469+2075086)+1921780+4451049+225004)+341480)+((0+0+(0+0)+0+0+0)+0)+((0+0+(0+0)+0+0+0)+0))-(((0+23340+(0+0)+0+21638+0)+0)+((258661+1772027+(1083381+886403)+1887187+4305865+186355)+255218)))</f>
        <v>2490224</v>
      </c>
    </row>
    <row r="184" spans="1:9" ht="14" x14ac:dyDescent="0.3">
      <c r="A184" s="2" t="s">
        <v>19</v>
      </c>
      <c r="B184" s="3">
        <f>((709151+2051420+(111726+500)+92880+204591+590669)+278507)</f>
        <v>4039444</v>
      </c>
      <c r="C184" s="3">
        <f>((0+50506+(0+0)+0+3868+55055)+0)</f>
        <v>109429</v>
      </c>
      <c r="D184" s="3">
        <f>((0+0+(0+0)+0+0+1166)+0)</f>
        <v>1166</v>
      </c>
      <c r="E184" s="3">
        <f>(((709151+2051420+(111726+500)+92880+204591+590669)+278507)+((0+50506+(0+0)+0+3868+55055)+0)+((0+0+(0+0)+0+0+1166)+0))</f>
        <v>4150039</v>
      </c>
      <c r="F184" s="3">
        <f>((0+1781+(0+0)+0+25+0)+0)</f>
        <v>1806</v>
      </c>
      <c r="G184" s="3">
        <f>((610529+2026574+(23431+0)+82675+192590+526584)+207961)</f>
        <v>3670344</v>
      </c>
      <c r="H184" s="3">
        <f>(((0+1781+(0+0)+0+25+0)+0)+((610529+2026574+(23431+0)+82675+192590+526584)+207961))</f>
        <v>3672150</v>
      </c>
      <c r="I184" s="3">
        <f>((((709151+2051420+(111726+500)+92880+204591+590669)+278507)+((0+50506+(0+0)+0+3868+55055)+0)+((0+0+(0+0)+0+0+1166)+0))-(((0+1781+(0+0)+0+25+0)+0)+((610529+2026574+(23431+0)+82675+192590+526584)+207961)))</f>
        <v>477889</v>
      </c>
    </row>
    <row r="185" spans="1:9" ht="14" x14ac:dyDescent="0.3">
      <c r="A185" s="2" t="s">
        <v>20</v>
      </c>
      <c r="B185" s="3">
        <f>((0+0+(100+0)+0+0+0)+684216)</f>
        <v>684316</v>
      </c>
      <c r="C185" s="3">
        <f>((0+0+(0+0)+0+0+0)+0)</f>
        <v>0</v>
      </c>
      <c r="D185" s="3">
        <f>((0+0+(0+0)+0+0+0)+0)</f>
        <v>0</v>
      </c>
      <c r="E185" s="3">
        <f>(((0+0+(100+0)+0+0+0)+684216)+((0+0+(0+0)+0+0+0)+0)+((0+0+(0+0)+0+0+0)+0))</f>
        <v>684316</v>
      </c>
      <c r="F185" s="3">
        <f>((0+0+(0+0)+0+0+0)+0)</f>
        <v>0</v>
      </c>
      <c r="G185" s="3">
        <f>((0+0+(0+0)+0+0+0)+480)</f>
        <v>480</v>
      </c>
      <c r="H185" s="3">
        <f>(((0+0+(0+0)+0+0+0)+0)+((0+0+(0+0)+0+0+0)+480))</f>
        <v>480</v>
      </c>
      <c r="I185" s="3">
        <f>((((0+0+(100+0)+0+0+0)+684216)+((0+0+(0+0)+0+0+0)+0)+((0+0+(0+0)+0+0+0)+0))-(((0+0+(0+0)+0+0+0)+0)+((0+0+(0+0)+0+0+0)+480)))</f>
        <v>683836</v>
      </c>
    </row>
    <row r="186" spans="1:9" ht="14" x14ac:dyDescent="0.3">
      <c r="A186" s="2" t="s">
        <v>21</v>
      </c>
      <c r="B186" s="3">
        <f>((5761291+22511707+(3682572+9526705)+1145741+2686412+2392064)+1152874)</f>
        <v>48859366</v>
      </c>
      <c r="C186" s="3">
        <f>((0+0+(0+0)+0+0+0)+0)</f>
        <v>0</v>
      </c>
      <c r="D186" s="3">
        <f>((0+0+(0+0)+0+0+0)+0)</f>
        <v>0</v>
      </c>
      <c r="E186" s="3">
        <f>(((5761291+22511707+(3682572+9526705)+1145741+2686412+2392064)+1152874)+((0+0+(0+0)+0+0+0)+0)+((0+0+(0+0)+0+0+0)+0))</f>
        <v>48859366</v>
      </c>
      <c r="F186" s="3">
        <f>((0+0+(0+0)+0+0+0)+0)</f>
        <v>0</v>
      </c>
      <c r="G186" s="3">
        <f>((5558002+21729710+(169673+422253)+706326+2522589+1479522)+658352)</f>
        <v>33246427</v>
      </c>
      <c r="H186" s="3">
        <f>(((0+0+(0+0)+0+0+0)+0)+((5558002+21729710+(169673+422253)+706326+2522589+1479522)+658352))</f>
        <v>33246427</v>
      </c>
      <c r="I186" s="3">
        <f>((((5761291+22511707+(3682572+9526705)+1145741+2686412+2392064)+1152874)+((0+0+(0+0)+0+0+0)+0)+((0+0+(0+0)+0+0+0)+0))-(((0+0+(0+0)+0+0+0)+0)+((5558002+21729710+(169673+422253)+706326+2522589+1479522)+658352)))</f>
        <v>15612939</v>
      </c>
    </row>
    <row r="187" spans="1:9" ht="14" x14ac:dyDescent="0.3">
      <c r="A187" s="2" t="s">
        <v>22</v>
      </c>
      <c r="B187" s="3">
        <f>((462276+2261965+(27593+0)+122973+190011+192129)+604461)</f>
        <v>3861408</v>
      </c>
      <c r="C187" s="3">
        <f>((8399+241701+(0+0)+0+1330478+(-13))+1)</f>
        <v>1580566</v>
      </c>
      <c r="D187" s="3">
        <f>((0+0+(0+0)+0+0+0)+0)</f>
        <v>0</v>
      </c>
      <c r="E187" s="3">
        <f>(((462276+2261965+(27593+0)+122973+190011+192129)+604461)+((8399+241701+(0+0)+0+1330478+(-13))+1)+((0+0+(0+0)+0+0+0)+0))</f>
        <v>5441974</v>
      </c>
      <c r="F187" s="3">
        <f>((0+0+(0+0)+0+0+0)+0)</f>
        <v>0</v>
      </c>
      <c r="G187" s="3">
        <f>((412250+2360691+(21119+0)+122669+1267542+183341)+19493)</f>
        <v>4387105</v>
      </c>
      <c r="H187" s="3">
        <f>(((0+0+(0+0)+0+0+0)+0)+((412250+2360691+(21119+0)+122669+1267542+183341)+19493))</f>
        <v>4387105</v>
      </c>
      <c r="I187" s="3">
        <f>((((462276+2261965+(27593+0)+122973+190011+192129)+604461)+((8399+241701+(0+0)+0+1330478+(-13))+1)+((0+0+(0+0)+0+0+0)+0))-(((0+0+(0+0)+0+0+0)+0)+((412250+2360691+(21119+0)+122669+1267542+183341)+19493)))</f>
        <v>1054869</v>
      </c>
    </row>
    <row r="188" spans="1:9" ht="14" x14ac:dyDescent="0.3">
      <c r="A188" s="2" t="s">
        <v>23</v>
      </c>
      <c r="B188" s="3">
        <f>((55749+2067554+(2149652+2805779)+176188+934830+513442)+760635)</f>
        <v>9463829</v>
      </c>
      <c r="C188" s="3">
        <f>((0+0+(0+0)+0+0+0)+0)</f>
        <v>0</v>
      </c>
      <c r="D188" s="3">
        <f>((0+0+(0+0)+0+0+0)+0)</f>
        <v>0</v>
      </c>
      <c r="E188" s="3">
        <f>(((55749+2067554+(2149652+2805779)+176188+934830+513442)+760635)+((0+0+(0+0)+0+0+0)+0)+((0+0+(0+0)+0+0+0)+0))</f>
        <v>9463829</v>
      </c>
      <c r="F188" s="3">
        <f>((0+0+(0+0)+0+0+0)+0)</f>
        <v>0</v>
      </c>
      <c r="G188" s="3">
        <f>((50022+1967066+(802267+1057225)+129448+841017+448064)+426975)</f>
        <v>5722084</v>
      </c>
      <c r="H188" s="3">
        <f>(((0+0+(0+0)+0+0+0)+0)+((50022+1967066+(802267+1057225)+129448+841017+448064)+426975))</f>
        <v>5722084</v>
      </c>
      <c r="I188" s="3">
        <f>((((55749+2067554+(2149652+2805779)+176188+934830+513442)+760635)+((0+0+(0+0)+0+0+0)+0)+((0+0+(0+0)+0+0+0)+0))-(((0+0+(0+0)+0+0+0)+0)+((50022+1967066+(802267+1057225)+129448+841017+448064)+426975)))</f>
        <v>3741745</v>
      </c>
    </row>
    <row r="189" spans="1:9" ht="14" x14ac:dyDescent="0.3">
      <c r="A189" s="2" t="s">
        <v>24</v>
      </c>
      <c r="B189" s="3">
        <f>((42458+8957641+(0+0)+123646+820186+364629)+10779984)</f>
        <v>21088544</v>
      </c>
      <c r="C189" s="3">
        <f>((0+0+(0+0)+0+0+0)+0)</f>
        <v>0</v>
      </c>
      <c r="D189" s="3">
        <f>((0+0+(0+0)+0+0+0)+0)</f>
        <v>0</v>
      </c>
      <c r="E189" s="3">
        <f>(((42458+8957641+(0+0)+123646+820186+364629)+10779984)+((0+0+(0+0)+0+0+0)+0)+((0+0+(0+0)+0+0+0)+0))</f>
        <v>21088544</v>
      </c>
      <c r="F189" s="3">
        <f>((0+593630+(0+0)+0+44698+5440)+0)</f>
        <v>643768</v>
      </c>
      <c r="G189" s="3">
        <f>((104889+4914719+(0+0)+14291+415337+50380)+54103)</f>
        <v>5553719</v>
      </c>
      <c r="H189" s="3">
        <f>(((0+593630+(0+0)+0+44698+5440)+0)+((104889+4914719+(0+0)+14291+415337+50380)+54103))</f>
        <v>6197487</v>
      </c>
      <c r="I189" s="3">
        <f>((((42458+8957641+(0+0)+123646+820186+364629)+10779984)+((0+0+(0+0)+0+0+0)+0)+((0+0+(0+0)+0+0+0)+0))-(((0+593630+(0+0)+0+44698+5440)+0)+((104889+4914719+(0+0)+14291+415337+50380)+54103)))</f>
        <v>14891057</v>
      </c>
    </row>
    <row r="190" spans="1:9" ht="14" x14ac:dyDescent="0.3">
      <c r="A190" s="2" t="s">
        <v>25</v>
      </c>
      <c r="B190" s="3">
        <f>((2587697+2538445+(2398080+1598872)+83052+1125590+566887)+949326)</f>
        <v>11847949</v>
      </c>
      <c r="C190" s="3">
        <f>((47388+272766+(0+0)+0+0+0)+0)</f>
        <v>320154</v>
      </c>
      <c r="D190" s="3">
        <f>((0+0+(0+0)+0+0+0)+0)</f>
        <v>0</v>
      </c>
      <c r="E190" s="3">
        <f>(((2587697+2538445+(2398080+1598872)+83052+1125590+566887)+949326)+((47388+272766+(0+0)+0+0+0)+0)+((0+0+(0+0)+0+0+0)+0))</f>
        <v>12168103</v>
      </c>
      <c r="F190" s="3">
        <f>(((-738)+25207+((-250)+0)+0+86+0)+0)</f>
        <v>24305</v>
      </c>
      <c r="G190" s="3">
        <f>((1499176+780521+(0+0)+29547+345608+(-193))+95)</f>
        <v>2654754</v>
      </c>
      <c r="H190" s="3">
        <f>((((-738)+25207+((-250)+0)+0+86+0)+0)+((1499176+780521+(0+0)+29547+345608+(-193))+95))</f>
        <v>2679059</v>
      </c>
      <c r="I190" s="3">
        <f>((((2587697+2538445+(2398080+1598872)+83052+1125590+566887)+949326)+((47388+272766+(0+0)+0+0+0)+0)+((0+0+(0+0)+0+0+0)+0))-((((-738)+25207+((-250)+0)+0+86+0)+0)+((1499176+780521+(0+0)+29547+345608+(-193))+95)))</f>
        <v>9489044</v>
      </c>
    </row>
  </sheetData>
  <mergeCells count="20">
    <mergeCell ref="A115:I115"/>
    <mergeCell ref="A134:I134"/>
    <mergeCell ref="A153:I153"/>
    <mergeCell ref="A172:I172"/>
    <mergeCell ref="A116:A117"/>
    <mergeCell ref="A135:A136"/>
    <mergeCell ref="A154:A155"/>
    <mergeCell ref="A173:A174"/>
    <mergeCell ref="A1:I1"/>
    <mergeCell ref="A20:I20"/>
    <mergeCell ref="A39:I39"/>
    <mergeCell ref="A58:I58"/>
    <mergeCell ref="A77:I77"/>
    <mergeCell ref="A96:I96"/>
    <mergeCell ref="A2:A3"/>
    <mergeCell ref="A21:A22"/>
    <mergeCell ref="A40:A41"/>
    <mergeCell ref="A59:A60"/>
    <mergeCell ref="A78:A79"/>
    <mergeCell ref="A97:A9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 </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2025-05-28T06:48:17Z</dcterms:created>
  <dcterms:modified xsi:type="dcterms:W3CDTF">2025-05-28T06:48:20Z</dcterms:modified>
</cp:coreProperties>
</file>